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eak-even point (one prod)" sheetId="1" r:id="rId4"/>
    <sheet state="visible" name="Break-even point (3 products)" sheetId="2" r:id="rId5"/>
    <sheet state="visible" name="Revenue" sheetId="3" r:id="rId6"/>
    <sheet state="visible" name="Expenses" sheetId="4" r:id="rId7"/>
    <sheet state="visible" name="Profit and Loss" sheetId="5" r:id="rId8"/>
  </sheets>
  <externalReferences>
    <externalReference r:id="rId9"/>
  </externalReferences>
  <definedNames>
    <definedName name="Aportacions">[1]NT!$Q$2:$Q$5</definedName>
    <definedName name="DataInici">[1]NT!$C$74:$C$122</definedName>
    <definedName name="Dataseleccionada">[1]NT!$D$2:$D$62</definedName>
    <definedName name="Murphy">[1]NT!$AC$2:$AC$3</definedName>
    <definedName name="Periodicitat">[1]NT!$S$2:$S$4</definedName>
    <definedName name="Socisunic">[1]NT!$P$2</definedName>
  </definedNames>
  <calcPr/>
  <extLst>
    <ext uri="GoogleSheetsCustomDataVersion2">
      <go:sheetsCustomData xmlns:go="http://customooxmlschemas.google.com/" r:id="rId10" roundtripDataChecksum="XD1q3cUxouJwZ7jT1la/MBnfPHoOq7rrcMu5PpeXWSc="/>
    </ext>
  </extLst>
</workbook>
</file>

<file path=xl/sharedStrings.xml><?xml version="1.0" encoding="utf-8"?>
<sst xmlns="http://schemas.openxmlformats.org/spreadsheetml/2006/main" count="158" uniqueCount="92">
  <si>
    <t>Break-even point</t>
  </si>
  <si>
    <t>Parameters</t>
  </si>
  <si>
    <t>Results</t>
  </si>
  <si>
    <t>Fixed costs</t>
  </si>
  <si>
    <t>Variable costs</t>
  </si>
  <si>
    <t>Total</t>
  </si>
  <si>
    <t>Contracts</t>
  </si>
  <si>
    <t>Purchase price materials</t>
  </si>
  <si>
    <t>Rents</t>
  </si>
  <si>
    <t>Transport clients</t>
  </si>
  <si>
    <t>Contribution Margin</t>
  </si>
  <si>
    <t>Other fixed costs</t>
  </si>
  <si>
    <t>Others</t>
  </si>
  <si>
    <t>Contribution Margin S2</t>
  </si>
  <si>
    <t>Other</t>
  </si>
  <si>
    <t>Contribution Margin S3</t>
  </si>
  <si>
    <t>Q: break-even</t>
  </si>
  <si>
    <t>Variable revenue</t>
  </si>
  <si>
    <t>Other parameters</t>
  </si>
  <si>
    <t>Price for service</t>
  </si>
  <si>
    <t>% service 1</t>
  </si>
  <si>
    <t>-</t>
  </si>
  <si>
    <t>% service 2</t>
  </si>
  <si>
    <t>% service 3</t>
  </si>
  <si>
    <t>Results by Q</t>
  </si>
  <si>
    <t>Costs</t>
  </si>
  <si>
    <t>Revenue</t>
  </si>
  <si>
    <t>Contribution Margin S1</t>
  </si>
  <si>
    <t>Transports</t>
  </si>
  <si>
    <t>Ingressos variables</t>
  </si>
  <si>
    <t>Q: service 1</t>
  </si>
  <si>
    <t>Price for service 1</t>
  </si>
  <si>
    <t>Q: service 2</t>
  </si>
  <si>
    <t>Price for service 2</t>
  </si>
  <si>
    <t>Q: service 3</t>
  </si>
  <si>
    <t>Price for service 3</t>
  </si>
  <si>
    <r>
      <rPr>
        <rFont val="Calibri"/>
        <color theme="1"/>
        <sz val="12.0"/>
      </rPr>
      <t xml:space="preserve">The </t>
    </r>
    <r>
      <rPr>
        <rFont val="Calibri"/>
        <b/>
        <color rgb="FF385623"/>
        <sz val="12.0"/>
      </rPr>
      <t xml:space="preserve">break-even point </t>
    </r>
    <r>
      <rPr>
        <rFont val="Calibri"/>
        <color theme="1"/>
        <sz val="12.0"/>
      </rPr>
      <t>is the quantity of units we need to sell, at least, to avoid losing money. It is calculated as total costs divided by the margin of contribution (Price-Variable costs). Since we have different services, we have to make a hypothesis, and assume the percentage of sales of each service (S1, S2, S3). The break-even point changes if some assumptions are changed (fixed costs, variable costs, or percentage of sales of each service).</t>
    </r>
  </si>
  <si>
    <t>Revenue streams</t>
  </si>
  <si>
    <t>Price</t>
  </si>
  <si>
    <t>Comments or hypotheses</t>
  </si>
  <si>
    <t>Therapy sessions for senior people seeking relaxation (pack of 10)</t>
  </si>
  <si>
    <t>"Easy" to design and medium-hard to commercialise</t>
  </si>
  <si>
    <t>Forrest walks for school pupils</t>
  </si>
  <si>
    <t>"Medium" design cost and easy to commercialise</t>
  </si>
  <si>
    <t>Family activities (forest bathing and nature walks)</t>
  </si>
  <si>
    <t>Easy to design and easy to commercialise</t>
  </si>
  <si>
    <t>Corporate retreats, day/ weekend package</t>
  </si>
  <si>
    <t>Hard to design and hard to commercialise</t>
  </si>
  <si>
    <t>Individual sessions</t>
  </si>
  <si>
    <t>Subsidies</t>
  </si>
  <si>
    <t>Year 1</t>
  </si>
  <si>
    <t>Year 2</t>
  </si>
  <si>
    <t>Year 3</t>
  </si>
  <si>
    <t>Sales</t>
  </si>
  <si>
    <t>Scenario 1</t>
  </si>
  <si>
    <t>Scenario 2</t>
  </si>
  <si>
    <t>Scenario 3</t>
  </si>
  <si>
    <t xml:space="preserve">Percentage growth compared to the previous year
</t>
  </si>
  <si>
    <t>Total revenue from sales</t>
  </si>
  <si>
    <t>Price increase</t>
  </si>
  <si>
    <t>Type of expenses</t>
  </si>
  <si>
    <t>Unit cost</t>
  </si>
  <si>
    <t>Guide</t>
  </si>
  <si>
    <t>It's a small fee assuming we will only need them half of the time</t>
  </si>
  <si>
    <t>Transport of guides and workers</t>
  </si>
  <si>
    <t>Materials for each session</t>
  </si>
  <si>
    <t>Catering: Food and drinks</t>
  </si>
  <si>
    <t>Annual cost</t>
  </si>
  <si>
    <t>Venue rental</t>
  </si>
  <si>
    <t>Free coworking in the village</t>
  </si>
  <si>
    <t>Salaries</t>
  </si>
  <si>
    <t>Marketing</t>
  </si>
  <si>
    <t>Booking platform subscription</t>
  </si>
  <si>
    <t>Insurance</t>
  </si>
  <si>
    <t>Accreditation &amp; Training capacitation</t>
  </si>
  <si>
    <t>Administration (self-employed tax and others)</t>
  </si>
  <si>
    <t>Total variable costs</t>
  </si>
  <si>
    <t xml:space="preserve">Fixed expenses
</t>
  </si>
  <si>
    <t>Any 1</t>
  </si>
  <si>
    <t>Any 2</t>
  </si>
  <si>
    <t>Any 3</t>
  </si>
  <si>
    <t>Total fixed costs</t>
  </si>
  <si>
    <t>Profit and loss</t>
  </si>
  <si>
    <t>(+) Sales</t>
  </si>
  <si>
    <t>(-) Cost of sales: direct costs</t>
  </si>
  <si>
    <t>Gross margin</t>
  </si>
  <si>
    <t>(-) Fixed costs (structure)</t>
  </si>
  <si>
    <t>Operational margin without subsidies</t>
  </si>
  <si>
    <t>(+) Subsidies</t>
  </si>
  <si>
    <t>Operational margin with subsidies</t>
  </si>
  <si>
    <t>Depreciation</t>
  </si>
  <si>
    <t>Result before interest and taxes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</si>
</sst>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#,##0.00\ &quot;€&quot;"/>
    <numFmt numFmtId="165" formatCode="#,##0\ &quot;€&quot;"/>
    <numFmt numFmtId="166" formatCode="#,##0.00&quot; €&quot;"/>
    <numFmt numFmtId="167" formatCode="_-* #,##0.00&quot; €&quot;_-;\-* #,##0.00&quot; €&quot;_-;_-* \-??&quot; €&quot;_-;_-@"/>
    <numFmt numFmtId="168" formatCode="#,##0&quot; €&quot;;[Red]\-#,##0&quot; €&quot;"/>
    <numFmt numFmtId="169" formatCode="_-* #,##0.00\ [$€-1]_-;\-* #,##0.00\ [$€-1]_-;_-* \-??\ [$€-1]_-;_-@"/>
    <numFmt numFmtId="170" formatCode="#,##0.00\ [$€-1]"/>
    <numFmt numFmtId="171" formatCode="_-* #,##0.00\ [$€-C0A]_-;\-* #,##0.00\ [$€-C0A]_-;_-* \-??\ [$€-C0A]_-;_-@"/>
  </numFmts>
  <fonts count="25">
    <font>
      <sz val="12.0"/>
      <color theme="1"/>
      <name val="Calibri"/>
      <scheme val="minor"/>
    </font>
    <font>
      <sz val="11.0"/>
      <color theme="1"/>
      <name val="Calibri"/>
    </font>
    <font>
      <b/>
      <i/>
      <sz val="28.0"/>
      <color rgb="FFC00000"/>
      <name val="Calibri"/>
    </font>
    <font/>
    <font>
      <b/>
      <i/>
      <sz val="20.0"/>
      <color rgb="FFFF5050"/>
      <name val="Calibri"/>
    </font>
    <font>
      <i/>
      <sz val="11.0"/>
      <color rgb="FFC00000"/>
      <name val="Calibri"/>
    </font>
    <font>
      <b/>
      <i/>
      <sz val="20.0"/>
      <color rgb="FF548135"/>
      <name val="Calibri"/>
    </font>
    <font>
      <b/>
      <sz val="11.0"/>
      <color theme="1"/>
      <name val="Calibri"/>
    </font>
    <font>
      <b/>
      <sz val="11.0"/>
      <color rgb="FFFFFFFF"/>
      <name val="Calibri"/>
    </font>
    <font>
      <sz val="11.0"/>
      <color rgb="FFD9D9D9"/>
      <name val="Calibri"/>
    </font>
    <font>
      <b/>
      <sz val="11.0"/>
      <color rgb="FFD9D9D9"/>
      <name val="Calibri"/>
    </font>
    <font>
      <i/>
      <sz val="11.0"/>
      <color theme="1"/>
      <name val="Calibri"/>
    </font>
    <font>
      <i/>
      <sz val="11.0"/>
      <color rgb="FFCCCCCC"/>
      <name val="Calibri"/>
    </font>
    <font>
      <i/>
      <sz val="11.0"/>
      <color rgb="FF1F3864"/>
      <name val="Calibri"/>
    </font>
    <font>
      <sz val="12.0"/>
      <color theme="1"/>
      <name val="Calibri"/>
    </font>
    <font>
      <sz val="8.0"/>
      <color theme="1"/>
      <name val="Arial"/>
    </font>
    <font>
      <b/>
      <i/>
      <sz val="14.0"/>
      <color rgb="FF53363C"/>
      <name val="Arial"/>
    </font>
    <font>
      <b/>
      <sz val="8.0"/>
      <color rgb="FFFFFFFF"/>
      <name val="Arial"/>
    </font>
    <font>
      <sz val="8.0"/>
      <color rgb="FF000000"/>
      <name val="Arial"/>
    </font>
    <font>
      <sz val="8.0"/>
      <color rgb="FFFF0000"/>
      <name val="Arial"/>
    </font>
    <font>
      <b/>
      <sz val="8.0"/>
      <color theme="1"/>
      <name val="Arial"/>
    </font>
    <font>
      <b/>
      <sz val="8.0"/>
      <color theme="0"/>
      <name val="Arial"/>
    </font>
    <font>
      <i/>
      <sz val="8.0"/>
      <color theme="1"/>
      <name val="Arial"/>
    </font>
    <font>
      <b/>
      <i/>
      <sz val="14.0"/>
      <color rgb="FF904354"/>
      <name val="Arial"/>
    </font>
    <font>
      <sz val="8.0"/>
      <color rgb="FFFFFFFF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E88684"/>
        <bgColor rgb="FFE88684"/>
      </patternFill>
    </fill>
    <fill>
      <patternFill patternType="solid">
        <fgColor rgb="FF385623"/>
        <bgColor rgb="FF385623"/>
      </patternFill>
    </fill>
    <fill>
      <patternFill patternType="solid">
        <fgColor rgb="FFD9D9D9"/>
        <bgColor rgb="FFD9D9D9"/>
      </patternFill>
    </fill>
    <fill>
      <patternFill patternType="solid">
        <fgColor rgb="FF904354"/>
        <bgColor rgb="FF904354"/>
      </patternFill>
    </fill>
    <fill>
      <patternFill patternType="solid">
        <fgColor rgb="FFF1CFCF"/>
        <bgColor rgb="FFF1CFCF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FEF2CB"/>
        <bgColor rgb="FFFEF2CB"/>
      </patternFill>
    </fill>
    <fill>
      <patternFill patternType="solid">
        <fgColor rgb="FF53363C"/>
        <bgColor rgb="FF53363C"/>
      </patternFill>
    </fill>
    <fill>
      <patternFill patternType="solid">
        <fgColor rgb="FFCC909D"/>
        <bgColor rgb="FFCC909D"/>
      </patternFill>
    </fill>
  </fills>
  <borders count="49">
    <border/>
    <border>
      <left/>
      <right/>
      <top/>
      <bottom/>
    </border>
    <border>
      <left/>
      <top/>
    </border>
    <border>
      <top/>
    </border>
    <border>
      <left/>
    </border>
    <border>
      <left/>
      <right/>
      <top/>
    </border>
    <border>
      <left style="thin">
        <color theme="0"/>
      </left>
      <top style="thin">
        <color theme="0"/>
      </top>
      <bottom style="thin">
        <color theme="0"/>
      </bottom>
    </border>
    <border>
      <right style="thin">
        <color theme="0"/>
      </right>
      <top style="thin">
        <color theme="0"/>
      </top>
      <bottom style="thin">
        <color theme="0"/>
      </bottom>
    </border>
    <border>
      <left/>
      <top/>
      <bottom/>
    </border>
    <border>
      <right/>
      <top/>
      <bottom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right style="thin">
        <color theme="0"/>
      </right>
      <bottom style="thin">
        <color theme="0"/>
      </bottom>
    </border>
    <border>
      <left style="medium">
        <color rgb="FFD9D9D9"/>
      </left>
      <right style="medium">
        <color rgb="FFD9D9D9"/>
      </right>
      <bottom style="medium">
        <color rgb="FFD9D9D9"/>
      </bottom>
    </border>
    <border>
      <left style="medium">
        <color rgb="FFD9D9D9"/>
      </left>
      <right style="medium">
        <color rgb="FFD9D9D9"/>
      </right>
      <top style="medium">
        <color rgb="FFD9D9D9"/>
      </top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</border>
    <border>
      <left style="medium">
        <color rgb="FFD9D9D9"/>
      </left>
      <top style="medium">
        <color rgb="FFD9D9D9"/>
      </top>
      <bottom style="medium">
        <color rgb="FFD9D9D9"/>
      </bottom>
    </border>
    <border>
      <right style="medium">
        <color rgb="FFD9D9D9"/>
      </right>
      <top style="medium">
        <color rgb="FFD9D9D9"/>
      </top>
      <bottom style="medium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/>
      <right/>
    </border>
    <border>
      <left/>
      <right/>
      <bottom/>
    </border>
    <border>
      <left/>
      <bottom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FFFFFF"/>
      </left>
    </border>
    <border>
      <right style="medium">
        <color rgb="FFFFFFFF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top/>
      <bottom/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2" fontId="2" numFmtId="0" xfId="0" applyBorder="1" applyFont="1"/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vertical="bottom"/>
    </xf>
    <xf borderId="1" fillId="2" fontId="5" numFmtId="0" xfId="0" applyAlignment="1" applyBorder="1" applyFont="1">
      <alignment vertical="bottom"/>
    </xf>
    <xf borderId="1" fillId="2" fontId="6" numFmtId="0" xfId="0" applyAlignment="1" applyBorder="1" applyFont="1">
      <alignment vertical="bottom"/>
    </xf>
    <xf borderId="5" fillId="2" fontId="1" numFmtId="0" xfId="0" applyAlignment="1" applyBorder="1" applyFont="1">
      <alignment vertical="bottom"/>
    </xf>
    <xf borderId="6" fillId="3" fontId="7" numFmtId="0" xfId="0" applyAlignment="1" applyBorder="1" applyFill="1" applyFont="1">
      <alignment horizontal="center" vertical="bottom"/>
    </xf>
    <xf borderId="7" fillId="0" fontId="3" numFmtId="0" xfId="0" applyBorder="1" applyFont="1"/>
    <xf borderId="8" fillId="2" fontId="1" numFmtId="0" xfId="0" applyAlignment="1" applyBorder="1" applyFont="1">
      <alignment vertical="bottom"/>
    </xf>
    <xf borderId="0" fillId="4" fontId="8" numFmtId="0" xfId="0" applyAlignment="1" applyFill="1" applyFont="1">
      <alignment horizontal="center" vertical="bottom"/>
    </xf>
    <xf borderId="9" fillId="2" fontId="1" numFmtId="0" xfId="0" applyAlignment="1" applyBorder="1" applyFont="1">
      <alignment vertical="bottom"/>
    </xf>
    <xf borderId="10" fillId="2" fontId="1" numFmtId="0" xfId="0" applyAlignment="1" applyBorder="1" applyFont="1">
      <alignment vertical="bottom"/>
    </xf>
    <xf borderId="10" fillId="2" fontId="1" numFmtId="164" xfId="0" applyAlignment="1" applyBorder="1" applyFont="1" applyNumberFormat="1">
      <alignment vertical="bottom"/>
    </xf>
    <xf borderId="1" fillId="2" fontId="5" numFmtId="0" xfId="0" applyAlignment="1" applyBorder="1" applyFont="1">
      <alignment horizontal="center" vertical="bottom"/>
    </xf>
    <xf borderId="10" fillId="2" fontId="1" numFmtId="0" xfId="0" applyAlignment="1" applyBorder="1" applyFont="1">
      <alignment horizontal="right" vertical="bottom"/>
    </xf>
    <xf borderId="11" fillId="2" fontId="7" numFmtId="0" xfId="0" applyAlignment="1" applyBorder="1" applyFont="1">
      <alignment vertical="bottom"/>
    </xf>
    <xf borderId="11" fillId="2" fontId="1" numFmtId="1" xfId="0" applyAlignment="1" applyBorder="1" applyFont="1" applyNumberFormat="1">
      <alignment horizontal="right" vertical="bottom"/>
    </xf>
    <xf borderId="12" fillId="5" fontId="9" numFmtId="0" xfId="0" applyAlignment="1" applyBorder="1" applyFill="1" applyFont="1">
      <alignment vertical="bottom"/>
    </xf>
    <xf borderId="12" fillId="5" fontId="9" numFmtId="0" xfId="0" applyAlignment="1" applyBorder="1" applyFont="1">
      <alignment horizontal="right" vertical="bottom"/>
    </xf>
    <xf borderId="13" fillId="5" fontId="9" numFmtId="0" xfId="0" applyAlignment="1" applyBorder="1" applyFont="1">
      <alignment vertical="bottom"/>
    </xf>
    <xf borderId="13" fillId="5" fontId="9" numFmtId="0" xfId="0" applyAlignment="1" applyBorder="1" applyFont="1">
      <alignment horizontal="right" vertical="bottom"/>
    </xf>
    <xf borderId="14" fillId="2" fontId="7" numFmtId="0" xfId="0" applyAlignment="1" applyBorder="1" applyFont="1">
      <alignment vertical="bottom"/>
    </xf>
    <xf borderId="14" fillId="2" fontId="1" numFmtId="1" xfId="0" applyAlignment="1" applyBorder="1" applyFont="1" applyNumberFormat="1">
      <alignment horizontal="right" vertical="bottom"/>
    </xf>
    <xf borderId="15" fillId="5" fontId="10" numFmtId="0" xfId="0" applyAlignment="1" applyBorder="1" applyFont="1">
      <alignment horizontal="center" vertical="bottom"/>
    </xf>
    <xf borderId="16" fillId="0" fontId="3" numFmtId="0" xfId="0" applyBorder="1" applyFont="1"/>
    <xf borderId="9" fillId="5" fontId="1" numFmtId="0" xfId="0" applyAlignment="1" applyBorder="1" applyFont="1">
      <alignment vertical="bottom"/>
    </xf>
    <xf borderId="17" fillId="2" fontId="7" numFmtId="0" xfId="0" applyAlignment="1" applyBorder="1" applyFont="1">
      <alignment vertical="bottom"/>
    </xf>
    <xf borderId="17" fillId="2" fontId="1" numFmtId="1" xfId="0" applyAlignment="1" applyBorder="1" applyFont="1" applyNumberFormat="1">
      <alignment horizontal="right" vertical="bottom"/>
    </xf>
    <xf borderId="8" fillId="2" fontId="5" numFmtId="0" xfId="0" applyAlignment="1" applyBorder="1" applyFont="1">
      <alignment horizontal="center" vertical="bottom"/>
    </xf>
    <xf borderId="18" fillId="5" fontId="9" numFmtId="0" xfId="0" applyAlignment="1" applyBorder="1" applyFont="1">
      <alignment vertical="bottom"/>
    </xf>
    <xf borderId="18" fillId="5" fontId="9" numFmtId="2" xfId="0" applyAlignment="1" applyBorder="1" applyFont="1" applyNumberFormat="1">
      <alignment horizontal="right" vertical="bottom"/>
    </xf>
    <xf borderId="9" fillId="2" fontId="5" numFmtId="0" xfId="0" applyAlignment="1" applyBorder="1" applyFont="1">
      <alignment horizontal="center" vertical="bottom"/>
    </xf>
    <xf borderId="19" fillId="2" fontId="11" numFmtId="0" xfId="0" applyAlignment="1" applyBorder="1" applyFont="1">
      <alignment horizontal="right" vertical="bottom"/>
    </xf>
    <xf borderId="19" fillId="2" fontId="11" numFmtId="1" xfId="0" applyAlignment="1" applyBorder="1" applyFont="1" applyNumberFormat="1">
      <alignment horizontal="right" vertical="bottom"/>
    </xf>
    <xf borderId="18" fillId="5" fontId="9" numFmtId="0" xfId="0" applyAlignment="1" applyBorder="1" applyFont="1">
      <alignment horizontal="right" vertical="bottom"/>
    </xf>
    <xf borderId="20" fillId="2" fontId="1" numFmtId="0" xfId="0" applyAlignment="1" applyBorder="1" applyFont="1">
      <alignment vertical="bottom"/>
    </xf>
    <xf borderId="21" fillId="2" fontId="1" numFmtId="0" xfId="0" applyAlignment="1" applyBorder="1" applyFont="1">
      <alignment vertical="bottom"/>
    </xf>
    <xf borderId="21" fillId="2" fontId="12" numFmtId="9" xfId="0" applyAlignment="1" applyBorder="1" applyFont="1" applyNumberFormat="1">
      <alignment horizontal="center" vertical="bottom"/>
    </xf>
    <xf borderId="6" fillId="4" fontId="8" numFmtId="0" xfId="0" applyAlignment="1" applyBorder="1" applyFont="1">
      <alignment horizontal="center"/>
    </xf>
    <xf borderId="10" fillId="4" fontId="8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bottom"/>
    </xf>
    <xf borderId="10" fillId="2" fontId="1" numFmtId="165" xfId="0" applyAlignment="1" applyBorder="1" applyFont="1" applyNumberFormat="1">
      <alignment horizontal="right" vertical="bottom"/>
    </xf>
    <xf borderId="22" fillId="2" fontId="1" numFmtId="0" xfId="0" applyAlignment="1" applyBorder="1" applyFont="1">
      <alignment vertical="bottom"/>
    </xf>
    <xf borderId="1" fillId="2" fontId="1" numFmtId="0" xfId="0" applyBorder="1" applyFont="1"/>
    <xf borderId="1" fillId="2" fontId="1" numFmtId="164" xfId="0" applyAlignment="1" applyBorder="1" applyFont="1" applyNumberFormat="1">
      <alignment vertical="bottom"/>
    </xf>
    <xf borderId="1" fillId="2" fontId="1" numFmtId="2" xfId="0" applyAlignment="1" applyBorder="1" applyFont="1" applyNumberFormat="1">
      <alignment vertical="bottom"/>
    </xf>
    <xf borderId="1" fillId="2" fontId="1" numFmtId="1" xfId="0" applyAlignment="1" applyBorder="1" applyFont="1" applyNumberFormat="1">
      <alignment vertical="bottom"/>
    </xf>
    <xf borderId="1" fillId="2" fontId="1" numFmtId="165" xfId="0" applyAlignment="1" applyBorder="1" applyFont="1" applyNumberFormat="1">
      <alignment vertical="bottom"/>
    </xf>
    <xf borderId="0" fillId="2" fontId="1" numFmtId="0" xfId="0" applyAlignment="1" applyFont="1">
      <alignment vertical="bottom"/>
    </xf>
    <xf borderId="6" fillId="4" fontId="8" numFmtId="0" xfId="0" applyAlignment="1" applyBorder="1" applyFont="1">
      <alignment horizontal="center" vertical="bottom"/>
    </xf>
    <xf borderId="10" fillId="2" fontId="7" numFmtId="0" xfId="0" applyAlignment="1" applyBorder="1" applyFont="1">
      <alignment vertical="bottom"/>
    </xf>
    <xf borderId="10" fillId="2" fontId="7" numFmtId="164" xfId="0" applyAlignment="1" applyBorder="1" applyFont="1" applyNumberFormat="1">
      <alignment horizontal="right" vertical="bottom"/>
    </xf>
    <xf borderId="10" fillId="2" fontId="1" numFmtId="1" xfId="0" applyAlignment="1" applyBorder="1" applyFont="1" applyNumberFormat="1">
      <alignment horizontal="right" vertical="bottom"/>
    </xf>
    <xf borderId="10" fillId="2" fontId="11" numFmtId="0" xfId="0" applyAlignment="1" applyBorder="1" applyFont="1">
      <alignment horizontal="right" vertical="bottom"/>
    </xf>
    <xf borderId="10" fillId="2" fontId="11" numFmtId="1" xfId="0" applyAlignment="1" applyBorder="1" applyFont="1" applyNumberFormat="1">
      <alignment horizontal="right" vertical="bottom"/>
    </xf>
    <xf borderId="23" fillId="2" fontId="1" numFmtId="2" xfId="0" applyAlignment="1" applyBorder="1" applyFont="1" applyNumberFormat="1">
      <alignment horizontal="right" vertical="bottom"/>
    </xf>
    <xf borderId="24" fillId="2" fontId="1" numFmtId="2" xfId="0" applyAlignment="1" applyBorder="1" applyFont="1" applyNumberFormat="1">
      <alignment horizontal="right" vertical="bottom"/>
    </xf>
    <xf borderId="24" fillId="2" fontId="1" numFmtId="0" xfId="0" applyAlignment="1" applyBorder="1" applyFont="1">
      <alignment horizontal="right" vertical="bottom"/>
    </xf>
    <xf borderId="1" fillId="2" fontId="13" numFmtId="9" xfId="0" applyAlignment="1" applyBorder="1" applyFont="1" applyNumberFormat="1">
      <alignment horizontal="center" vertical="bottom"/>
    </xf>
    <xf borderId="10" fillId="4" fontId="8" numFmtId="1" xfId="0" applyAlignment="1" applyBorder="1" applyFont="1" applyNumberFormat="1">
      <alignment horizontal="center"/>
    </xf>
    <xf borderId="25" fillId="2" fontId="14" numFmtId="0" xfId="0" applyAlignment="1" applyBorder="1" applyFont="1">
      <alignment horizontal="center" shrinkToFit="0" vertical="center" wrapText="1"/>
    </xf>
    <xf borderId="26" fillId="0" fontId="3" numFmtId="0" xfId="0" applyBorder="1" applyFont="1"/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0" fillId="0" fontId="15" numFmtId="0" xfId="0" applyAlignment="1" applyFont="1">
      <alignment vertical="center"/>
    </xf>
    <xf borderId="0" fillId="0" fontId="16" numFmtId="0" xfId="0" applyAlignment="1" applyFont="1">
      <alignment vertical="center"/>
    </xf>
    <xf borderId="33" fillId="6" fontId="17" numFmtId="0" xfId="0" applyAlignment="1" applyBorder="1" applyFill="1" applyFont="1">
      <alignment horizontal="center" shrinkToFit="0" vertical="center" wrapText="1"/>
    </xf>
    <xf borderId="34" fillId="6" fontId="17" numFmtId="0" xfId="0" applyAlignment="1" applyBorder="1" applyFont="1">
      <alignment horizontal="center" shrinkToFit="0" vertical="center" wrapText="1"/>
    </xf>
    <xf borderId="35" fillId="0" fontId="3" numFmtId="0" xfId="0" applyBorder="1" applyFont="1"/>
    <xf borderId="36" fillId="0" fontId="3" numFmtId="0" xfId="0" applyBorder="1" applyFont="1"/>
    <xf borderId="33" fillId="0" fontId="18" numFmtId="0" xfId="0" applyAlignment="1" applyBorder="1" applyFont="1">
      <alignment horizontal="left" shrinkToFit="0" vertical="center" wrapText="1"/>
    </xf>
    <xf borderId="33" fillId="7" fontId="15" numFmtId="166" xfId="0" applyAlignment="1" applyBorder="1" applyFill="1" applyFont="1" applyNumberFormat="1">
      <alignment horizontal="center" vertical="center"/>
    </xf>
    <xf borderId="34" fillId="0" fontId="15" numFmtId="0" xfId="0" applyAlignment="1" applyBorder="1" applyFont="1">
      <alignment horizontal="left" vertical="center"/>
    </xf>
    <xf borderId="0" fillId="0" fontId="15" numFmtId="10" xfId="0" applyAlignment="1" applyFont="1" applyNumberFormat="1">
      <alignment vertical="center"/>
    </xf>
    <xf borderId="34" fillId="0" fontId="18" numFmtId="0" xfId="0" applyAlignment="1" applyBorder="1" applyFont="1">
      <alignment horizontal="left" vertical="center"/>
    </xf>
    <xf borderId="0" fillId="0" fontId="19" numFmtId="0" xfId="0" applyAlignment="1" applyFont="1">
      <alignment vertical="center"/>
    </xf>
    <xf borderId="37" fillId="0" fontId="15" numFmtId="0" xfId="0" applyAlignment="1" applyBorder="1" applyFont="1">
      <alignment horizontal="left" vertical="center"/>
    </xf>
    <xf borderId="38" fillId="0" fontId="3" numFmtId="0" xfId="0" applyBorder="1" applyFont="1"/>
    <xf borderId="39" fillId="0" fontId="3" numFmtId="0" xfId="0" applyBorder="1" applyFont="1"/>
    <xf borderId="33" fillId="0" fontId="15" numFmtId="0" xfId="0" applyAlignment="1" applyBorder="1" applyFont="1">
      <alignment horizontal="left" shrinkToFit="0" vertical="center" wrapText="1"/>
    </xf>
    <xf borderId="40" fillId="7" fontId="15" numFmtId="166" xfId="0" applyAlignment="1" applyBorder="1" applyFont="1" applyNumberFormat="1">
      <alignment horizontal="center" vertical="center"/>
    </xf>
    <xf borderId="41" fillId="7" fontId="15" numFmtId="167" xfId="0" applyAlignment="1" applyBorder="1" applyFont="1" applyNumberFormat="1">
      <alignment readingOrder="0" vertical="center"/>
    </xf>
    <xf borderId="36" fillId="0" fontId="14" numFmtId="0" xfId="0" applyBorder="1" applyFont="1"/>
    <xf borderId="0" fillId="0" fontId="15" numFmtId="0" xfId="0" applyAlignment="1" applyFont="1">
      <alignment horizontal="left" vertical="center"/>
    </xf>
    <xf borderId="33" fillId="0" fontId="15" numFmtId="166" xfId="0" applyAlignment="1" applyBorder="1" applyFont="1" applyNumberFormat="1">
      <alignment horizontal="center" shrinkToFit="0" vertical="center" wrapText="1"/>
    </xf>
    <xf borderId="33" fillId="0" fontId="15" numFmtId="0" xfId="0" applyAlignment="1" applyBorder="1" applyFont="1">
      <alignment horizontal="center" shrinkToFit="0" vertical="center" wrapText="1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5" numFmtId="168" xfId="0" applyAlignment="1" applyFont="1" applyNumberFormat="1">
      <alignment vertical="center"/>
    </xf>
    <xf borderId="33" fillId="6" fontId="17" numFmtId="0" xfId="0" applyAlignment="1" applyBorder="1" applyFont="1">
      <alignment horizontal="center" vertical="center"/>
    </xf>
    <xf borderId="34" fillId="8" fontId="20" numFmtId="0" xfId="0" applyAlignment="1" applyBorder="1" applyFill="1" applyFont="1">
      <alignment horizontal="center" vertical="center"/>
    </xf>
    <xf borderId="34" fillId="9" fontId="20" numFmtId="0" xfId="0" applyAlignment="1" applyBorder="1" applyFill="1" applyFont="1">
      <alignment horizontal="center" vertical="center"/>
    </xf>
    <xf borderId="34" fillId="10" fontId="20" numFmtId="0" xfId="0" applyAlignment="1" applyBorder="1" applyFill="1" applyFont="1">
      <alignment horizontal="center" vertical="center"/>
    </xf>
    <xf borderId="33" fillId="6" fontId="21" numFmtId="0" xfId="0" applyAlignment="1" applyBorder="1" applyFont="1">
      <alignment horizontal="center" vertical="center"/>
    </xf>
    <xf borderId="33" fillId="7" fontId="15" numFmtId="4" xfId="0" applyAlignment="1" applyBorder="1" applyFont="1" applyNumberFormat="1">
      <alignment vertical="center"/>
    </xf>
    <xf borderId="33" fillId="0" fontId="15" numFmtId="4" xfId="0" applyAlignment="1" applyBorder="1" applyFont="1" applyNumberFormat="1">
      <alignment vertical="center"/>
    </xf>
    <xf borderId="42" fillId="0" fontId="15" numFmtId="4" xfId="0" applyAlignment="1" applyBorder="1" applyFont="1" applyNumberFormat="1">
      <alignment vertical="center"/>
    </xf>
    <xf borderId="0" fillId="0" fontId="18" numFmtId="0" xfId="0" applyAlignment="1" applyFont="1">
      <alignment horizontal="left" shrinkToFit="0" vertical="center" wrapText="1"/>
    </xf>
    <xf borderId="0" fillId="0" fontId="15" numFmtId="4" xfId="0" applyAlignment="1" applyFont="1" applyNumberFormat="1">
      <alignment vertical="center"/>
    </xf>
    <xf borderId="33" fillId="11" fontId="15" numFmtId="9" xfId="0" applyAlignment="1" applyBorder="1" applyFill="1" applyFont="1" applyNumberFormat="1">
      <alignment vertical="center"/>
    </xf>
    <xf borderId="33" fillId="0" fontId="15" numFmtId="169" xfId="0" applyAlignment="1" applyBorder="1" applyFont="1" applyNumberFormat="1">
      <alignment vertical="center"/>
    </xf>
    <xf borderId="43" fillId="6" fontId="17" numFmtId="0" xfId="0" applyAlignment="1" applyBorder="1" applyFont="1">
      <alignment vertical="center"/>
    </xf>
    <xf borderId="44" fillId="0" fontId="15" numFmtId="169" xfId="0" applyAlignment="1" applyBorder="1" applyFont="1" applyNumberFormat="1">
      <alignment horizontal="right" vertical="center"/>
    </xf>
    <xf borderId="33" fillId="0" fontId="20" numFmtId="0" xfId="0" applyAlignment="1" applyBorder="1" applyFont="1">
      <alignment vertical="center"/>
    </xf>
    <xf borderId="33" fillId="0" fontId="15" numFmtId="10" xfId="0" applyAlignment="1" applyBorder="1" applyFont="1" applyNumberFormat="1">
      <alignment vertical="center"/>
    </xf>
    <xf borderId="41" fillId="6" fontId="17" numFmtId="0" xfId="0" applyAlignment="1" applyBorder="1" applyFont="1">
      <alignment horizontal="center" shrinkToFit="0" vertical="center" wrapText="1"/>
    </xf>
    <xf borderId="45" fillId="6" fontId="17" numFmtId="0" xfId="0" applyAlignment="1" applyBorder="1" applyFont="1">
      <alignment horizontal="center" shrinkToFit="0" vertical="center" wrapText="1"/>
    </xf>
    <xf borderId="46" fillId="0" fontId="3" numFmtId="0" xfId="0" applyBorder="1" applyFont="1"/>
    <xf borderId="47" fillId="0" fontId="3" numFmtId="0" xfId="0" applyBorder="1" applyFont="1"/>
    <xf borderId="33" fillId="12" fontId="17" numFmtId="0" xfId="0" applyAlignment="1" applyBorder="1" applyFill="1" applyFont="1">
      <alignment vertical="center"/>
    </xf>
    <xf borderId="33" fillId="12" fontId="17" numFmtId="0" xfId="0" applyAlignment="1" applyBorder="1" applyFont="1">
      <alignment horizontal="center" vertical="center"/>
    </xf>
    <xf borderId="1" fillId="12" fontId="15" numFmtId="0" xfId="0" applyAlignment="1" applyBorder="1" applyFont="1">
      <alignment vertical="center"/>
    </xf>
    <xf borderId="8" fillId="12" fontId="15" numFmtId="0" xfId="0" applyAlignment="1" applyBorder="1" applyFont="1">
      <alignment vertical="center"/>
    </xf>
    <xf borderId="48" fillId="0" fontId="3" numFmtId="0" xfId="0" applyBorder="1" applyFont="1"/>
    <xf borderId="33" fillId="0" fontId="15" numFmtId="0" xfId="0" applyAlignment="1" applyBorder="1" applyFont="1">
      <alignment vertical="center"/>
    </xf>
    <xf borderId="33" fillId="7" fontId="15" numFmtId="170" xfId="0" applyAlignment="1" applyBorder="1" applyFont="1" applyNumberFormat="1">
      <alignment vertical="center"/>
    </xf>
    <xf borderId="34" fillId="0" fontId="15" numFmtId="0" xfId="0" applyAlignment="1" applyBorder="1" applyFont="1">
      <alignment vertical="center"/>
    </xf>
    <xf borderId="33" fillId="0" fontId="22" numFmtId="0" xfId="0" applyAlignment="1" applyBorder="1" applyFont="1">
      <alignment horizontal="right" vertical="center"/>
    </xf>
    <xf borderId="33" fillId="0" fontId="15" numFmtId="171" xfId="0" applyAlignment="1" applyBorder="1" applyFont="1" applyNumberFormat="1">
      <alignment vertical="center"/>
    </xf>
    <xf borderId="44" fillId="0" fontId="15" numFmtId="166" xfId="0" applyAlignment="1" applyBorder="1" applyFont="1" applyNumberFormat="1">
      <alignment horizontal="right" vertical="center"/>
    </xf>
    <xf borderId="33" fillId="0" fontId="15" numFmtId="170" xfId="0" applyAlignment="1" applyBorder="1" applyFont="1" applyNumberFormat="1">
      <alignment vertical="center"/>
    </xf>
    <xf borderId="0" fillId="0" fontId="15" numFmtId="0" xfId="0" applyFont="1"/>
    <xf borderId="0" fillId="0" fontId="23" numFmtId="0" xfId="0" applyFont="1"/>
    <xf borderId="33" fillId="13" fontId="17" numFmtId="0" xfId="0" applyAlignment="1" applyBorder="1" applyFill="1" applyFont="1">
      <alignment horizontal="center" shrinkToFit="0" vertical="center" wrapText="1"/>
    </xf>
    <xf borderId="33" fillId="0" fontId="20" numFmtId="0" xfId="0" applyBorder="1" applyFont="1"/>
    <xf borderId="33" fillId="0" fontId="15" numFmtId="166" xfId="0" applyAlignment="1" applyBorder="1" applyFont="1" applyNumberFormat="1">
      <alignment horizontal="right"/>
    </xf>
    <xf borderId="33" fillId="13" fontId="24" numFmtId="0" xfId="0" applyBorder="1" applyFont="1"/>
    <xf borderId="33" fillId="13" fontId="17" numFmtId="166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2.xml"/><Relationship Id="rId10" Type="http://customschemas.google.com/relationships/workbookmetadata" Target="metadata"/><Relationship Id="rId4" Type="http://schemas.openxmlformats.org/officeDocument/2006/relationships/worksheet" Target="worksheets/sheet1.xml"/><Relationship Id="rId9" Type="http://schemas.openxmlformats.org/officeDocument/2006/relationships/externalLink" Target="externalLinks/externalLink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Break-even point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'Break-even point (one prod)'!$I$18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'Break-even point (one prod)'!$J$17:$N$17</c:f>
            </c:strRef>
          </c:cat>
          <c:val>
            <c:numRef>
              <c:f>'Break-even point (one prod)'!$J$18:$N$18</c:f>
              <c:numCache/>
            </c:numRef>
          </c:val>
          <c:smooth val="0"/>
        </c:ser>
        <c:ser>
          <c:idx val="1"/>
          <c:order val="1"/>
          <c:tx>
            <c:strRef>
              <c:f>'Break-even point (one prod)'!$I$19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'Break-even point (one prod)'!$J$17:$N$17</c:f>
            </c:strRef>
          </c:cat>
          <c:val>
            <c:numRef>
              <c:f>'Break-even point (one prod)'!$J$19:$N$19</c:f>
              <c:numCache/>
            </c:numRef>
          </c:val>
          <c:smooth val="0"/>
        </c:ser>
        <c:axId val="550945654"/>
        <c:axId val="1940812293"/>
      </c:lineChart>
      <c:catAx>
        <c:axId val="5509456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Results by Q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940812293"/>
      </c:catAx>
      <c:valAx>
        <c:axId val="19408122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50945654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Break-even point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'Break-even point (3 products)'!$I$18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'Break-even point (3 products)'!$J$17:$N$17</c:f>
            </c:strRef>
          </c:cat>
          <c:val>
            <c:numRef>
              <c:f>'Break-even point (3 products)'!$J$18:$N$18</c:f>
              <c:numCache/>
            </c:numRef>
          </c:val>
          <c:smooth val="0"/>
        </c:ser>
        <c:ser>
          <c:idx val="1"/>
          <c:order val="1"/>
          <c:tx>
            <c:strRef>
              <c:f>'Break-even point (3 products)'!$I$19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'Break-even point (3 products)'!$J$17:$N$17</c:f>
            </c:strRef>
          </c:cat>
          <c:val>
            <c:numRef>
              <c:f>'Break-even point (3 products)'!$J$19:$N$19</c:f>
              <c:numCache/>
            </c:numRef>
          </c:val>
          <c:smooth val="0"/>
        </c:ser>
        <c:axId val="442626152"/>
        <c:axId val="1576922608"/>
      </c:lineChart>
      <c:catAx>
        <c:axId val="442626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Results by Q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76922608"/>
      </c:catAx>
      <c:valAx>
        <c:axId val="15769226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42626152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885825</xdr:colOff>
      <xdr:row>19</xdr:row>
      <xdr:rowOff>9525</xdr:rowOff>
    </xdr:from>
    <xdr:ext cx="5715000" cy="3533775"/>
    <xdr:graphicFrame>
      <xdr:nvGraphicFramePr>
        <xdr:cNvPr id="2059106363" name="Chart 1" title="Gràfic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885825</xdr:colOff>
      <xdr:row>19</xdr:row>
      <xdr:rowOff>9525</xdr:rowOff>
    </xdr:from>
    <xdr:ext cx="5715000" cy="3533775"/>
    <xdr:graphicFrame>
      <xdr:nvGraphicFramePr>
        <xdr:cNvPr id="1115655220" name="Chart 2" title="Gràfic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Mireia%20Riera/Downloads/Plantilla%20Pla%20Econ&#242;mic-Financer(en%20blanc)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onfiguració"/>
      <sheetName val="NT"/>
      <sheetName val="MI2"/>
      <sheetName val="Comentaris"/>
      <sheetName val="MI"/>
      <sheetName val="Home"/>
      <sheetName val="INV"/>
      <sheetName val="MOVINV"/>
      <sheetName val="FIN"/>
      <sheetName val="Mov FIN"/>
      <sheetName val="PrA"/>
      <sheetName val="PrB"/>
      <sheetName val="PrC"/>
      <sheetName val="PrD"/>
      <sheetName val="PrE"/>
      <sheetName val="LeA"/>
      <sheetName val="LeB"/>
      <sheetName val="LeC "/>
      <sheetName val="C"/>
      <sheetName val="MOVCF"/>
      <sheetName val="CVM"/>
      <sheetName val="CVA"/>
      <sheetName val="VM"/>
      <sheetName val="OP"/>
      <sheetName val="MOVCV"/>
      <sheetName val="Ex Net"/>
      <sheetName val="IVA"/>
      <sheetName val="MOVV"/>
      <sheetName val="B"/>
      <sheetName val="R"/>
      <sheetName val="T"/>
      <sheetName val="IS"/>
      <sheetName val="IRPF"/>
      <sheetName val="Stock"/>
      <sheetName val="Inv-Fin"/>
      <sheetName val="A"/>
      <sheetName val="SOC 7.1"/>
      <sheetName val="SOC 7.3"/>
      <sheetName val="SOC 7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5" max="5" width="17.67"/>
    <col customWidth="1" min="9" max="9" width="16.5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2" t="s">
        <v>0</v>
      </c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1</v>
      </c>
      <c r="C5" s="1"/>
      <c r="D5" s="6"/>
      <c r="E5" s="1"/>
      <c r="F5" s="1"/>
      <c r="G5" s="1"/>
      <c r="H5" s="1"/>
      <c r="I5" s="7" t="s">
        <v>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8"/>
      <c r="J6" s="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9" t="s">
        <v>3</v>
      </c>
      <c r="C7" s="10"/>
      <c r="D7" s="1"/>
      <c r="E7" s="9" t="s">
        <v>4</v>
      </c>
      <c r="F7" s="10"/>
      <c r="G7" s="1"/>
      <c r="H7" s="11"/>
      <c r="I7" s="12" t="s">
        <v>5</v>
      </c>
      <c r="K7" s="1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4" t="s">
        <v>6</v>
      </c>
      <c r="C8" s="15">
        <v>4000.0</v>
      </c>
      <c r="D8" s="16"/>
      <c r="E8" s="14" t="s">
        <v>7</v>
      </c>
      <c r="F8" s="17">
        <v>50.0</v>
      </c>
      <c r="G8" s="16"/>
      <c r="H8" s="11"/>
      <c r="I8" s="18" t="s">
        <v>3</v>
      </c>
      <c r="J8" s="19">
        <f>SUM(C8:C11)</f>
        <v>4600</v>
      </c>
      <c r="K8" s="1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4" t="s">
        <v>8</v>
      </c>
      <c r="C9" s="15">
        <v>500.0</v>
      </c>
      <c r="D9" s="16"/>
      <c r="E9" s="14" t="s">
        <v>9</v>
      </c>
      <c r="F9" s="17">
        <v>50.0</v>
      </c>
      <c r="G9" s="16"/>
      <c r="H9" s="11"/>
      <c r="I9" s="18" t="s">
        <v>10</v>
      </c>
      <c r="J9" s="19">
        <f>C14-(F8+F9+F10)</f>
        <v>100</v>
      </c>
      <c r="K9" s="1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4" t="s">
        <v>11</v>
      </c>
      <c r="C10" s="15">
        <v>100.0</v>
      </c>
      <c r="D10" s="16"/>
      <c r="E10" s="14" t="s">
        <v>12</v>
      </c>
      <c r="F10" s="17">
        <v>0.0</v>
      </c>
      <c r="G10" s="16"/>
      <c r="H10" s="11"/>
      <c r="I10" s="20" t="s">
        <v>13</v>
      </c>
      <c r="J10" s="21">
        <v>0.0</v>
      </c>
      <c r="K10" s="1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4" t="s">
        <v>14</v>
      </c>
      <c r="C11" s="15">
        <v>0.0</v>
      </c>
      <c r="D11" s="16"/>
      <c r="E11" s="1"/>
      <c r="F11" s="1"/>
      <c r="G11" s="1"/>
      <c r="H11" s="11"/>
      <c r="I11" s="22" t="s">
        <v>15</v>
      </c>
      <c r="J11" s="23">
        <v>0.0</v>
      </c>
      <c r="K11" s="1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8"/>
      <c r="F12" s="8"/>
      <c r="G12" s="1"/>
      <c r="H12" s="11"/>
      <c r="I12" s="24" t="s">
        <v>16</v>
      </c>
      <c r="J12" s="25">
        <f>SUM(C8:C11)/(C14-F8-F9)</f>
        <v>46</v>
      </c>
      <c r="K12" s="1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9" t="s">
        <v>17</v>
      </c>
      <c r="C13" s="10"/>
      <c r="D13" s="11"/>
      <c r="E13" s="26" t="s">
        <v>18</v>
      </c>
      <c r="F13" s="27"/>
      <c r="G13" s="28"/>
      <c r="H13" s="11"/>
      <c r="I13" s="29"/>
      <c r="J13" s="30"/>
      <c r="K13" s="1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4" t="s">
        <v>19</v>
      </c>
      <c r="C14" s="17">
        <v>200.0</v>
      </c>
      <c r="D14" s="31"/>
      <c r="E14" s="32" t="s">
        <v>20</v>
      </c>
      <c r="F14" s="33">
        <v>1.0</v>
      </c>
      <c r="G14" s="34"/>
      <c r="H14" s="11"/>
      <c r="I14" s="35"/>
      <c r="J14" s="36"/>
      <c r="K14" s="1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4" t="s">
        <v>21</v>
      </c>
      <c r="C15" s="17">
        <v>0.0</v>
      </c>
      <c r="D15" s="31"/>
      <c r="E15" s="32" t="s">
        <v>22</v>
      </c>
      <c r="F15" s="33">
        <v>0.0</v>
      </c>
      <c r="G15" s="34"/>
      <c r="H15" s="11"/>
      <c r="I15" s="35"/>
      <c r="J15" s="36"/>
      <c r="K15" s="1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4" t="s">
        <v>21</v>
      </c>
      <c r="C16" s="17">
        <v>0.0</v>
      </c>
      <c r="D16" s="31"/>
      <c r="E16" s="32" t="s">
        <v>23</v>
      </c>
      <c r="F16" s="37">
        <v>0.0</v>
      </c>
      <c r="G16" s="34"/>
      <c r="H16" s="11"/>
      <c r="I16" s="38"/>
      <c r="J16" s="3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39"/>
      <c r="F17" s="40" t="str">
        <f>IF(SUM(F14:F16)=1,"Ok","Alerta! Cal que sumi 100%")</f>
        <v>Ok</v>
      </c>
      <c r="G17" s="1"/>
      <c r="H17" s="11"/>
      <c r="I17" s="41" t="s">
        <v>24</v>
      </c>
      <c r="J17" s="10"/>
      <c r="K17" s="42">
        <v>0.0</v>
      </c>
      <c r="L17" s="42">
        <v>30.0</v>
      </c>
      <c r="M17" s="42">
        <v>62.0</v>
      </c>
      <c r="N17" s="42">
        <v>100.0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43" t="s">
        <v>25</v>
      </c>
      <c r="J18" s="10"/>
      <c r="K18" s="44">
        <f t="shared" ref="K18:N18" si="1">SUM($C$8:$C$11)+sum($F$8:$F$9)*K17</f>
        <v>4600</v>
      </c>
      <c r="L18" s="44">
        <f t="shared" si="1"/>
        <v>7600</v>
      </c>
      <c r="M18" s="44">
        <f t="shared" si="1"/>
        <v>10800</v>
      </c>
      <c r="N18" s="44">
        <f t="shared" si="1"/>
        <v>14600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43" t="s">
        <v>26</v>
      </c>
      <c r="J19" s="10"/>
      <c r="K19" s="44">
        <f t="shared" ref="K19:N19" si="2">K17*$C$14</f>
        <v>0</v>
      </c>
      <c r="L19" s="44">
        <f t="shared" si="2"/>
        <v>6000</v>
      </c>
      <c r="M19" s="44">
        <f t="shared" si="2"/>
        <v>12400</v>
      </c>
      <c r="N19" s="44">
        <f t="shared" si="2"/>
        <v>20000</v>
      </c>
      <c r="O19" s="13"/>
      <c r="P19" s="11"/>
      <c r="Q19" s="1"/>
      <c r="R19" s="1"/>
      <c r="S19" s="1"/>
      <c r="T19" s="13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39"/>
      <c r="J20" s="45"/>
      <c r="K20" s="8"/>
      <c r="L20" s="8"/>
      <c r="M20" s="8"/>
      <c r="N20" s="8"/>
      <c r="O20" s="13"/>
      <c r="P20" s="11"/>
      <c r="Q20" s="1"/>
      <c r="R20" s="1"/>
      <c r="S20" s="1"/>
      <c r="T20" s="13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1"/>
      <c r="K21" s="8"/>
      <c r="L21" s="8"/>
      <c r="M21" s="8"/>
      <c r="N21" s="8"/>
      <c r="O21" s="13"/>
      <c r="P21" s="11"/>
      <c r="Q21" s="1"/>
      <c r="R21" s="1"/>
      <c r="S21" s="1"/>
      <c r="T21" s="13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1"/>
      <c r="K22" s="8"/>
      <c r="L22" s="8"/>
      <c r="M22" s="8"/>
      <c r="N22" s="8"/>
      <c r="O22" s="13"/>
      <c r="P22" s="11"/>
      <c r="Q22" s="1"/>
      <c r="R22" s="1"/>
      <c r="S22" s="1"/>
      <c r="T22" s="13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1"/>
      <c r="K23" s="8"/>
      <c r="L23" s="8"/>
      <c r="M23" s="8"/>
      <c r="N23" s="8"/>
      <c r="O23" s="13"/>
      <c r="P23" s="11"/>
      <c r="Q23" s="1"/>
      <c r="R23" s="1"/>
      <c r="S23" s="1"/>
      <c r="T23" s="13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1"/>
      <c r="K24" s="8"/>
      <c r="L24" s="8"/>
      <c r="M24" s="8"/>
      <c r="N24" s="8"/>
      <c r="O24" s="13"/>
      <c r="P24" s="11"/>
      <c r="Q24" s="1"/>
      <c r="R24" s="1"/>
      <c r="S24" s="1"/>
      <c r="T24" s="13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1"/>
      <c r="K25" s="8"/>
      <c r="L25" s="8"/>
      <c r="M25" s="8"/>
      <c r="N25" s="8"/>
      <c r="O25" s="13"/>
      <c r="P25" s="11"/>
      <c r="Q25" s="1"/>
      <c r="R25" s="1"/>
      <c r="S25" s="1"/>
      <c r="T25" s="13"/>
      <c r="U25" s="1"/>
      <c r="V25" s="1"/>
      <c r="W25" s="1"/>
      <c r="X25" s="1"/>
      <c r="Y25" s="1"/>
      <c r="Z25" s="1"/>
    </row>
    <row r="26">
      <c r="A26" s="1"/>
      <c r="B26" s="46"/>
      <c r="C26" s="47"/>
      <c r="D26" s="1"/>
      <c r="E26" s="1"/>
      <c r="F26" s="1"/>
      <c r="G26" s="1"/>
      <c r="H26" s="1"/>
      <c r="I26" s="1"/>
      <c r="J26" s="11"/>
      <c r="K26" s="8"/>
      <c r="L26" s="8"/>
      <c r="M26" s="8"/>
      <c r="N26" s="8"/>
      <c r="O26" s="13"/>
      <c r="P26" s="11"/>
      <c r="Q26" s="1"/>
      <c r="R26" s="1"/>
      <c r="S26" s="1"/>
      <c r="T26" s="13"/>
      <c r="U26" s="1"/>
      <c r="V26" s="1"/>
      <c r="W26" s="1"/>
      <c r="X26" s="1"/>
      <c r="Y26" s="1"/>
      <c r="Z26" s="1"/>
    </row>
    <row r="27">
      <c r="A27" s="1"/>
      <c r="B27" s="46"/>
      <c r="C27" s="47"/>
      <c r="D27" s="1"/>
      <c r="E27" s="1"/>
      <c r="F27" s="1"/>
      <c r="G27" s="1"/>
      <c r="H27" s="1"/>
      <c r="I27" s="1"/>
      <c r="J27" s="11"/>
      <c r="K27" s="8"/>
      <c r="L27" s="8"/>
      <c r="M27" s="8"/>
      <c r="N27" s="8"/>
      <c r="O27" s="13"/>
      <c r="P27" s="11"/>
      <c r="Q27" s="1"/>
      <c r="R27" s="1"/>
      <c r="S27" s="1"/>
      <c r="T27" s="13"/>
      <c r="U27" s="1"/>
      <c r="V27" s="1"/>
      <c r="W27" s="1"/>
      <c r="X27" s="1"/>
      <c r="Y27" s="1"/>
      <c r="Z27" s="1"/>
    </row>
    <row r="28">
      <c r="A28" s="1"/>
      <c r="B28" s="46"/>
      <c r="C28" s="47"/>
      <c r="D28" s="1"/>
      <c r="E28" s="1"/>
      <c r="F28" s="1"/>
      <c r="G28" s="1"/>
      <c r="H28" s="1"/>
      <c r="I28" s="1"/>
      <c r="J28" s="11"/>
      <c r="K28" s="8"/>
      <c r="L28" s="8"/>
      <c r="M28" s="8"/>
      <c r="N28" s="8"/>
      <c r="O28" s="13"/>
      <c r="P28" s="11"/>
      <c r="Q28" s="1"/>
      <c r="R28" s="1"/>
      <c r="S28" s="1"/>
      <c r="T28" s="13"/>
      <c r="U28" s="1"/>
      <c r="V28" s="1"/>
      <c r="W28" s="1"/>
      <c r="X28" s="1"/>
      <c r="Y28" s="1"/>
      <c r="Z28" s="1"/>
    </row>
    <row r="29">
      <c r="A29" s="1"/>
      <c r="B29" s="46"/>
      <c r="C29" s="47"/>
      <c r="D29" s="1"/>
      <c r="E29" s="1"/>
      <c r="F29" s="1"/>
      <c r="G29" s="1"/>
      <c r="H29" s="1"/>
      <c r="I29" s="1"/>
      <c r="J29" s="11"/>
      <c r="K29" s="8"/>
      <c r="L29" s="8"/>
      <c r="M29" s="8"/>
      <c r="N29" s="8"/>
      <c r="O29" s="13"/>
      <c r="P29" s="11"/>
      <c r="Q29" s="1"/>
      <c r="R29" s="1"/>
      <c r="S29" s="1"/>
      <c r="T29" s="13"/>
      <c r="U29" s="1"/>
      <c r="V29" s="1"/>
      <c r="W29" s="1"/>
      <c r="X29" s="1"/>
      <c r="Y29" s="1"/>
      <c r="Z29" s="1"/>
    </row>
    <row r="30">
      <c r="A30" s="1"/>
      <c r="B30" s="46"/>
      <c r="C30" s="47"/>
      <c r="D30" s="1"/>
      <c r="E30" s="1"/>
      <c r="F30" s="1"/>
      <c r="G30" s="1"/>
      <c r="H30" s="1"/>
      <c r="I30" s="1"/>
      <c r="J30" s="11"/>
      <c r="K30" s="8"/>
      <c r="L30" s="8"/>
      <c r="M30" s="8"/>
      <c r="N30" s="8"/>
      <c r="O30" s="13"/>
      <c r="P30" s="11"/>
      <c r="Q30" s="1"/>
      <c r="R30" s="1"/>
      <c r="S30" s="1"/>
      <c r="T30" s="13"/>
      <c r="U30" s="1"/>
      <c r="V30" s="1"/>
      <c r="W30" s="1"/>
      <c r="X30" s="1"/>
      <c r="Y30" s="1"/>
      <c r="Z30" s="1"/>
    </row>
    <row r="31">
      <c r="A31" s="1"/>
      <c r="B31" s="46"/>
      <c r="C31" s="1"/>
      <c r="D31" s="1"/>
      <c r="E31" s="1"/>
      <c r="F31" s="48"/>
      <c r="G31" s="1"/>
      <c r="H31" s="1"/>
      <c r="I31" s="1"/>
      <c r="J31" s="11"/>
      <c r="K31" s="8"/>
      <c r="L31" s="8"/>
      <c r="M31" s="8"/>
      <c r="N31" s="8"/>
      <c r="O31" s="13"/>
      <c r="P31" s="11"/>
      <c r="Q31" s="1"/>
      <c r="R31" s="1"/>
      <c r="S31" s="1"/>
      <c r="T31" s="13"/>
      <c r="U31" s="1"/>
      <c r="V31" s="1"/>
      <c r="W31" s="1"/>
      <c r="X31" s="1"/>
      <c r="Y31" s="1"/>
      <c r="Z31" s="1"/>
    </row>
    <row r="32">
      <c r="A32" s="1"/>
      <c r="B32" s="46"/>
      <c r="C32" s="1"/>
      <c r="D32" s="1"/>
      <c r="E32" s="1"/>
      <c r="F32" s="48"/>
      <c r="G32" s="1"/>
      <c r="H32" s="1"/>
      <c r="I32" s="1"/>
      <c r="J32" s="11"/>
      <c r="K32" s="8"/>
      <c r="L32" s="8"/>
      <c r="M32" s="8"/>
      <c r="N32" s="8"/>
      <c r="O32" s="13"/>
      <c r="P32" s="11"/>
      <c r="Q32" s="1"/>
      <c r="R32" s="1"/>
      <c r="S32" s="1"/>
      <c r="T32" s="13"/>
      <c r="U32" s="1"/>
      <c r="V32" s="1"/>
      <c r="W32" s="1"/>
      <c r="X32" s="1"/>
      <c r="Y32" s="1"/>
      <c r="Z32" s="1"/>
    </row>
    <row r="33">
      <c r="A33" s="1"/>
      <c r="B33" s="46"/>
      <c r="C33" s="1"/>
      <c r="D33" s="1"/>
      <c r="E33" s="1"/>
      <c r="F33" s="48"/>
      <c r="G33" s="1"/>
      <c r="H33" s="1"/>
      <c r="I33" s="1"/>
      <c r="J33" s="11"/>
      <c r="K33" s="8"/>
      <c r="L33" s="8"/>
      <c r="M33" s="8"/>
      <c r="N33" s="8"/>
      <c r="O33" s="13"/>
      <c r="P33" s="11"/>
      <c r="Q33" s="1"/>
      <c r="R33" s="1"/>
      <c r="S33" s="1"/>
      <c r="T33" s="13"/>
      <c r="U33" s="1"/>
      <c r="V33" s="1"/>
      <c r="W33" s="1"/>
      <c r="X33" s="1"/>
      <c r="Y33" s="1"/>
      <c r="Z33" s="1"/>
    </row>
    <row r="34">
      <c r="A34" s="1"/>
      <c r="B34" s="46"/>
      <c r="C34" s="1"/>
      <c r="D34" s="1"/>
      <c r="E34" s="1"/>
      <c r="F34" s="1"/>
      <c r="G34" s="1"/>
      <c r="H34" s="1"/>
      <c r="I34" s="1"/>
      <c r="J34" s="11"/>
      <c r="K34" s="8"/>
      <c r="L34" s="8"/>
      <c r="M34" s="8"/>
      <c r="N34" s="8"/>
      <c r="O34" s="13"/>
      <c r="P34" s="11"/>
      <c r="Q34" s="1"/>
      <c r="R34" s="1"/>
      <c r="S34" s="1"/>
      <c r="T34" s="13"/>
      <c r="U34" s="1"/>
      <c r="V34" s="1"/>
      <c r="W34" s="1"/>
      <c r="X34" s="1"/>
      <c r="Y34" s="1"/>
      <c r="Z34" s="1"/>
    </row>
    <row r="35">
      <c r="A35" s="1"/>
      <c r="B35" s="46"/>
      <c r="C35" s="1"/>
      <c r="D35" s="1"/>
      <c r="E35" s="1"/>
      <c r="F35" s="1"/>
      <c r="G35" s="1"/>
      <c r="H35" s="1"/>
      <c r="I35" s="1"/>
      <c r="J35" s="11"/>
      <c r="K35" s="8"/>
      <c r="L35" s="8"/>
      <c r="M35" s="8"/>
      <c r="N35" s="8"/>
      <c r="O35" s="13"/>
      <c r="P35" s="11"/>
      <c r="Q35" s="1"/>
      <c r="R35" s="1"/>
      <c r="S35" s="1"/>
      <c r="T35" s="13"/>
      <c r="U35" s="1"/>
      <c r="V35" s="1"/>
      <c r="W35" s="1"/>
      <c r="X35" s="1"/>
      <c r="Y35" s="1"/>
      <c r="Z35" s="1"/>
    </row>
    <row r="36">
      <c r="A36" s="1"/>
      <c r="B36" s="46"/>
      <c r="C36" s="1"/>
      <c r="D36" s="1"/>
      <c r="E36" s="1"/>
      <c r="F36" s="1"/>
      <c r="G36" s="1"/>
      <c r="H36" s="1"/>
      <c r="I36" s="1"/>
      <c r="J36" s="11"/>
      <c r="K36" s="8"/>
      <c r="L36" s="8"/>
      <c r="M36" s="8"/>
      <c r="N36" s="8"/>
      <c r="O36" s="13"/>
      <c r="P36" s="11"/>
      <c r="Q36" s="1"/>
      <c r="R36" s="1"/>
      <c r="S36" s="1"/>
      <c r="T36" s="13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1"/>
      <c r="K37" s="8"/>
      <c r="L37" s="8"/>
      <c r="M37" s="8"/>
      <c r="N37" s="8"/>
      <c r="O37" s="13"/>
      <c r="P37" s="11"/>
      <c r="Q37" s="1"/>
      <c r="R37" s="1"/>
      <c r="S37" s="1"/>
      <c r="T37" s="13"/>
      <c r="U37" s="1"/>
      <c r="V37" s="1"/>
      <c r="W37" s="1"/>
      <c r="X37" s="1"/>
      <c r="Y37" s="1"/>
      <c r="Z37" s="1"/>
    </row>
    <row r="38">
      <c r="A38" s="1"/>
      <c r="B38" s="1"/>
      <c r="C38" s="49"/>
      <c r="D38" s="1"/>
      <c r="E38" s="1"/>
      <c r="F38" s="1"/>
      <c r="G38" s="1"/>
      <c r="H38" s="1"/>
      <c r="I38" s="1"/>
      <c r="J38" s="11"/>
      <c r="K38" s="8"/>
      <c r="L38" s="8"/>
      <c r="M38" s="8"/>
      <c r="N38" s="8"/>
      <c r="O38" s="13"/>
      <c r="P38" s="11"/>
      <c r="Q38" s="1"/>
      <c r="R38" s="1"/>
      <c r="S38" s="1"/>
      <c r="T38" s="13"/>
      <c r="U38" s="1"/>
      <c r="V38" s="1"/>
      <c r="W38" s="1"/>
      <c r="X38" s="1"/>
      <c r="Y38" s="1"/>
      <c r="Z38" s="1"/>
    </row>
    <row r="39">
      <c r="A39" s="1"/>
      <c r="B39" s="1"/>
      <c r="C39" s="49"/>
      <c r="D39" s="1"/>
      <c r="E39" s="1"/>
      <c r="F39" s="1"/>
      <c r="G39" s="1"/>
      <c r="H39" s="1"/>
      <c r="I39" s="1"/>
      <c r="J39" s="11"/>
      <c r="K39" s="8"/>
      <c r="L39" s="8"/>
      <c r="M39" s="8"/>
      <c r="N39" s="8"/>
      <c r="O39" s="1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49"/>
      <c r="D40" s="1"/>
      <c r="E40" s="1"/>
      <c r="F40" s="47"/>
      <c r="G40" s="1"/>
      <c r="H40" s="1"/>
      <c r="I40" s="1"/>
      <c r="J40" s="11"/>
      <c r="K40" s="8"/>
      <c r="L40" s="8"/>
      <c r="M40" s="8"/>
      <c r="N40" s="8"/>
      <c r="O40" s="1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49"/>
      <c r="D41" s="1"/>
      <c r="E41" s="1"/>
      <c r="F41" s="1"/>
      <c r="G41" s="1"/>
      <c r="H41" s="1"/>
      <c r="I41" s="1"/>
      <c r="J41" s="11"/>
      <c r="K41" s="8"/>
      <c r="L41" s="8"/>
      <c r="M41" s="8"/>
      <c r="N41" s="8"/>
      <c r="O41" s="1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1"/>
      <c r="K42" s="8"/>
      <c r="L42" s="8"/>
      <c r="M42" s="8"/>
      <c r="N42" s="8"/>
      <c r="O42" s="1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49"/>
      <c r="D43" s="1"/>
      <c r="E43" s="1"/>
      <c r="F43" s="50"/>
      <c r="G43" s="1"/>
      <c r="H43" s="1"/>
      <c r="I43" s="1"/>
      <c r="J43" s="11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4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50"/>
      <c r="D48" s="50"/>
      <c r="E48" s="50"/>
      <c r="F48" s="50"/>
      <c r="G48" s="50"/>
      <c r="H48" s="50"/>
      <c r="I48" s="1"/>
      <c r="J48" s="1"/>
      <c r="K48" s="50"/>
      <c r="L48" s="50"/>
      <c r="M48" s="50"/>
      <c r="N48" s="50"/>
      <c r="O48" s="50"/>
      <c r="P48" s="50"/>
      <c r="Q48" s="50"/>
      <c r="R48" s="50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50"/>
      <c r="D49" s="50"/>
      <c r="E49" s="50"/>
      <c r="F49" s="50"/>
      <c r="G49" s="50"/>
      <c r="H49" s="50"/>
      <c r="I49" s="1"/>
      <c r="J49" s="1"/>
      <c r="K49" s="50"/>
      <c r="L49" s="50"/>
      <c r="M49" s="50"/>
      <c r="N49" s="50"/>
      <c r="O49" s="50"/>
      <c r="P49" s="50"/>
      <c r="Q49" s="50"/>
      <c r="R49" s="50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50"/>
      <c r="J50" s="5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50"/>
      <c r="J51" s="5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51"/>
      <c r="B1001" s="51"/>
      <c r="C1001" s="51"/>
      <c r="D1001" s="51"/>
      <c r="E1001" s="51"/>
      <c r="F1001" s="51"/>
      <c r="G1001" s="51"/>
      <c r="H1001" s="51"/>
      <c r="I1001" s="1"/>
      <c r="J1001" s="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</row>
    <row r="1002">
      <c r="A1002" s="51"/>
      <c r="B1002" s="51"/>
      <c r="C1002" s="51"/>
      <c r="D1002" s="51"/>
      <c r="E1002" s="51"/>
      <c r="F1002" s="51"/>
      <c r="G1002" s="51"/>
      <c r="H1002" s="51"/>
      <c r="I1002" s="1"/>
      <c r="J1002" s="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</row>
  </sheetData>
  <mergeCells count="9">
    <mergeCell ref="I18:J18"/>
    <mergeCell ref="I19:J19"/>
    <mergeCell ref="B2:I3"/>
    <mergeCell ref="B7:C7"/>
    <mergeCell ref="E7:F7"/>
    <mergeCell ref="I7:J7"/>
    <mergeCell ref="B13:C13"/>
    <mergeCell ref="E13:F13"/>
    <mergeCell ref="I17:J1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2" t="s">
        <v>0</v>
      </c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1</v>
      </c>
      <c r="C5" s="1"/>
      <c r="D5" s="6"/>
      <c r="E5" s="1"/>
      <c r="F5" s="1"/>
      <c r="G5" s="1"/>
      <c r="H5" s="1"/>
      <c r="I5" s="7" t="s">
        <v>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9" t="s">
        <v>3</v>
      </c>
      <c r="C7" s="10"/>
      <c r="D7" s="1"/>
      <c r="E7" s="9" t="s">
        <v>4</v>
      </c>
      <c r="F7" s="10"/>
      <c r="G7" s="1"/>
      <c r="H7" s="1"/>
      <c r="I7" s="52" t="s">
        <v>5</v>
      </c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4" t="s">
        <v>6</v>
      </c>
      <c r="C8" s="15">
        <v>4000.0</v>
      </c>
      <c r="D8" s="16"/>
      <c r="E8" s="14" t="s">
        <v>7</v>
      </c>
      <c r="F8" s="17">
        <v>50.0</v>
      </c>
      <c r="G8" s="16"/>
      <c r="H8" s="1"/>
      <c r="I8" s="53" t="s">
        <v>3</v>
      </c>
      <c r="J8" s="54">
        <f>SUM(C8:C11)</f>
        <v>4300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4" t="s">
        <v>8</v>
      </c>
      <c r="C9" s="15">
        <v>200.0</v>
      </c>
      <c r="D9" s="16"/>
      <c r="E9" s="14" t="s">
        <v>9</v>
      </c>
      <c r="F9" s="17">
        <v>80.0</v>
      </c>
      <c r="G9" s="16"/>
      <c r="H9" s="1"/>
      <c r="I9" s="14" t="s">
        <v>27</v>
      </c>
      <c r="J9" s="17">
        <f>C14-F10</f>
        <v>70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4" t="s">
        <v>28</v>
      </c>
      <c r="C10" s="15">
        <v>100.0</v>
      </c>
      <c r="D10" s="16"/>
      <c r="E10" s="14" t="s">
        <v>5</v>
      </c>
      <c r="F10" s="17">
        <f>F8+F9</f>
        <v>130</v>
      </c>
      <c r="G10" s="16"/>
      <c r="H10" s="1"/>
      <c r="I10" s="14" t="s">
        <v>13</v>
      </c>
      <c r="J10" s="17">
        <f>C15-F10</f>
        <v>120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4" t="s">
        <v>14</v>
      </c>
      <c r="C11" s="15">
        <v>0.0</v>
      </c>
      <c r="D11" s="16"/>
      <c r="E11" s="1"/>
      <c r="F11" s="1"/>
      <c r="G11" s="1"/>
      <c r="H11" s="1"/>
      <c r="I11" s="14" t="s">
        <v>15</v>
      </c>
      <c r="J11" s="17">
        <f>C16-F10</f>
        <v>170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53" t="s">
        <v>16</v>
      </c>
      <c r="J12" s="55">
        <f>J8/(J9*F14+J10*F15+J11*F16)</f>
        <v>37.55458515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9" t="s">
        <v>29</v>
      </c>
      <c r="C13" s="10"/>
      <c r="D13" s="1"/>
      <c r="E13" s="9" t="s">
        <v>18</v>
      </c>
      <c r="F13" s="10"/>
      <c r="G13" s="1"/>
      <c r="H13" s="1"/>
      <c r="I13" s="56" t="s">
        <v>30</v>
      </c>
      <c r="J13" s="57">
        <f t="shared" ref="J13:J15" si="1">F14*$J$12</f>
        <v>10.51528384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4" t="s">
        <v>31</v>
      </c>
      <c r="C14" s="17">
        <v>200.0</v>
      </c>
      <c r="D14" s="16"/>
      <c r="E14" s="14" t="s">
        <v>20</v>
      </c>
      <c r="F14" s="58">
        <v>0.28</v>
      </c>
      <c r="G14" s="16"/>
      <c r="H14" s="1"/>
      <c r="I14" s="56" t="s">
        <v>32</v>
      </c>
      <c r="J14" s="57">
        <f t="shared" si="1"/>
        <v>20.65502183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4" t="s">
        <v>33</v>
      </c>
      <c r="C15" s="17">
        <v>250.0</v>
      </c>
      <c r="D15" s="16"/>
      <c r="E15" s="14" t="s">
        <v>22</v>
      </c>
      <c r="F15" s="59">
        <v>0.55</v>
      </c>
      <c r="G15" s="16"/>
      <c r="H15" s="11"/>
      <c r="I15" s="56" t="s">
        <v>34</v>
      </c>
      <c r="J15" s="57">
        <f t="shared" si="1"/>
        <v>6.384279476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4" t="s">
        <v>35</v>
      </c>
      <c r="C16" s="17">
        <v>300.0</v>
      </c>
      <c r="D16" s="16"/>
      <c r="E16" s="14" t="s">
        <v>23</v>
      </c>
      <c r="F16" s="60">
        <v>0.17</v>
      </c>
      <c r="G16" s="16"/>
      <c r="H16" s="11"/>
      <c r="I16" s="8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61" t="str">
        <f>IF(SUM(F14:F16)=1,"Ok","Alerta! Cal que sumi 100%")</f>
        <v>Ok</v>
      </c>
      <c r="G17" s="1"/>
      <c r="H17" s="11"/>
      <c r="I17" s="41" t="s">
        <v>24</v>
      </c>
      <c r="J17" s="10"/>
      <c r="K17" s="42">
        <v>0.0</v>
      </c>
      <c r="L17" s="42">
        <v>15.0</v>
      </c>
      <c r="M17" s="62">
        <v>37.55</v>
      </c>
      <c r="N17" s="42">
        <v>60.0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43" t="s">
        <v>25</v>
      </c>
      <c r="J18" s="10"/>
      <c r="K18" s="44">
        <f t="shared" ref="K18:N18" si="2">SUM($C$8:$C$11)+$F$10*K17</f>
        <v>4300</v>
      </c>
      <c r="L18" s="44">
        <f t="shared" si="2"/>
        <v>6250</v>
      </c>
      <c r="M18" s="44">
        <f t="shared" si="2"/>
        <v>9181.5</v>
      </c>
      <c r="N18" s="44">
        <f t="shared" si="2"/>
        <v>12100</v>
      </c>
      <c r="O18" s="1"/>
      <c r="P18" s="1"/>
      <c r="Q18" s="8"/>
      <c r="R18" s="8"/>
      <c r="S18" s="8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43" t="s">
        <v>26</v>
      </c>
      <c r="J19" s="10"/>
      <c r="K19" s="44">
        <f t="shared" ref="K19:N19" si="3">$C$14*$F$14*K17+$C$15*$F$15*K17+$C$16*$F$16*K17</f>
        <v>0</v>
      </c>
      <c r="L19" s="44">
        <f t="shared" si="3"/>
        <v>3667.5</v>
      </c>
      <c r="M19" s="44">
        <f t="shared" si="3"/>
        <v>9180.975</v>
      </c>
      <c r="N19" s="44">
        <f t="shared" si="3"/>
        <v>14670</v>
      </c>
      <c r="O19" s="13"/>
      <c r="P19" s="11"/>
      <c r="Q19" s="63" t="s">
        <v>36</v>
      </c>
      <c r="R19" s="64"/>
      <c r="S19" s="65"/>
      <c r="T19" s="13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39"/>
      <c r="J20" s="45"/>
      <c r="K20" s="8"/>
      <c r="L20" s="8"/>
      <c r="M20" s="8"/>
      <c r="N20" s="8"/>
      <c r="O20" s="13"/>
      <c r="P20" s="11"/>
      <c r="Q20" s="66"/>
      <c r="S20" s="67"/>
      <c r="T20" s="13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1"/>
      <c r="K21" s="8"/>
      <c r="L21" s="8"/>
      <c r="M21" s="8"/>
      <c r="N21" s="8"/>
      <c r="O21" s="13"/>
      <c r="P21" s="11"/>
      <c r="Q21" s="66"/>
      <c r="S21" s="67"/>
      <c r="T21" s="13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1"/>
      <c r="K22" s="8"/>
      <c r="L22" s="8"/>
      <c r="M22" s="8"/>
      <c r="N22" s="8"/>
      <c r="O22" s="13"/>
      <c r="P22" s="11"/>
      <c r="Q22" s="66"/>
      <c r="S22" s="67"/>
      <c r="T22" s="13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1"/>
      <c r="K23" s="8"/>
      <c r="L23" s="8"/>
      <c r="M23" s="8"/>
      <c r="N23" s="8"/>
      <c r="O23" s="13"/>
      <c r="P23" s="11"/>
      <c r="Q23" s="66"/>
      <c r="S23" s="67"/>
      <c r="T23" s="13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1"/>
      <c r="K24" s="8"/>
      <c r="L24" s="8"/>
      <c r="M24" s="8"/>
      <c r="N24" s="8"/>
      <c r="O24" s="13"/>
      <c r="P24" s="11"/>
      <c r="Q24" s="66"/>
      <c r="S24" s="67"/>
      <c r="T24" s="13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1"/>
      <c r="K25" s="8"/>
      <c r="L25" s="8"/>
      <c r="M25" s="8"/>
      <c r="N25" s="8"/>
      <c r="O25" s="13"/>
      <c r="P25" s="11"/>
      <c r="Q25" s="66"/>
      <c r="S25" s="67"/>
      <c r="T25" s="13"/>
      <c r="U25" s="1"/>
      <c r="V25" s="1"/>
      <c r="W25" s="1"/>
      <c r="X25" s="1"/>
      <c r="Y25" s="1"/>
      <c r="Z25" s="1"/>
    </row>
    <row r="26">
      <c r="A26" s="1"/>
      <c r="B26" s="46"/>
      <c r="C26" s="47"/>
      <c r="D26" s="1"/>
      <c r="E26" s="1"/>
      <c r="F26" s="1"/>
      <c r="G26" s="1"/>
      <c r="H26" s="1"/>
      <c r="I26" s="1"/>
      <c r="J26" s="11"/>
      <c r="K26" s="8"/>
      <c r="L26" s="8"/>
      <c r="M26" s="8"/>
      <c r="N26" s="8"/>
      <c r="O26" s="13"/>
      <c r="P26" s="11"/>
      <c r="Q26" s="66"/>
      <c r="S26" s="67"/>
      <c r="T26" s="13"/>
      <c r="U26" s="1"/>
      <c r="V26" s="1"/>
      <c r="W26" s="1"/>
      <c r="X26" s="1"/>
      <c r="Y26" s="1"/>
      <c r="Z26" s="1"/>
    </row>
    <row r="27">
      <c r="A27" s="1"/>
      <c r="B27" s="46"/>
      <c r="C27" s="47"/>
      <c r="D27" s="1"/>
      <c r="E27" s="1"/>
      <c r="F27" s="1"/>
      <c r="G27" s="1"/>
      <c r="H27" s="1"/>
      <c r="I27" s="1"/>
      <c r="J27" s="11"/>
      <c r="K27" s="8"/>
      <c r="L27" s="8"/>
      <c r="M27" s="8"/>
      <c r="N27" s="8"/>
      <c r="O27" s="13"/>
      <c r="P27" s="11"/>
      <c r="Q27" s="66"/>
      <c r="S27" s="67"/>
      <c r="T27" s="13"/>
      <c r="U27" s="1"/>
      <c r="V27" s="1"/>
      <c r="W27" s="1"/>
      <c r="X27" s="1"/>
      <c r="Y27" s="1"/>
      <c r="Z27" s="1"/>
    </row>
    <row r="28">
      <c r="A28" s="1"/>
      <c r="B28" s="46"/>
      <c r="C28" s="47"/>
      <c r="D28" s="1"/>
      <c r="E28" s="1"/>
      <c r="F28" s="1"/>
      <c r="G28" s="1"/>
      <c r="H28" s="1"/>
      <c r="I28" s="1"/>
      <c r="J28" s="11"/>
      <c r="K28" s="8"/>
      <c r="L28" s="8"/>
      <c r="M28" s="8"/>
      <c r="N28" s="8"/>
      <c r="O28" s="13"/>
      <c r="P28" s="11"/>
      <c r="Q28" s="66"/>
      <c r="S28" s="67"/>
      <c r="T28" s="13"/>
      <c r="U28" s="1"/>
      <c r="V28" s="1"/>
      <c r="W28" s="1"/>
      <c r="X28" s="1"/>
      <c r="Y28" s="1"/>
      <c r="Z28" s="1"/>
    </row>
    <row r="29">
      <c r="A29" s="1"/>
      <c r="B29" s="46"/>
      <c r="C29" s="47"/>
      <c r="D29" s="1"/>
      <c r="E29" s="1"/>
      <c r="F29" s="1"/>
      <c r="G29" s="1"/>
      <c r="H29" s="1"/>
      <c r="I29" s="1"/>
      <c r="J29" s="11"/>
      <c r="K29" s="8"/>
      <c r="L29" s="8"/>
      <c r="M29" s="8"/>
      <c r="N29" s="8"/>
      <c r="O29" s="13"/>
      <c r="P29" s="11"/>
      <c r="Q29" s="66"/>
      <c r="S29" s="67"/>
      <c r="T29" s="13"/>
      <c r="U29" s="1"/>
      <c r="V29" s="1"/>
      <c r="W29" s="1"/>
      <c r="X29" s="1"/>
      <c r="Y29" s="1"/>
      <c r="Z29" s="1"/>
    </row>
    <row r="30">
      <c r="A30" s="1"/>
      <c r="B30" s="46"/>
      <c r="C30" s="47"/>
      <c r="D30" s="1"/>
      <c r="E30" s="1"/>
      <c r="F30" s="1"/>
      <c r="G30" s="1"/>
      <c r="H30" s="1"/>
      <c r="I30" s="1"/>
      <c r="J30" s="11"/>
      <c r="K30" s="8"/>
      <c r="L30" s="8"/>
      <c r="M30" s="8"/>
      <c r="N30" s="8"/>
      <c r="O30" s="13"/>
      <c r="P30" s="11"/>
      <c r="Q30" s="66"/>
      <c r="S30" s="67"/>
      <c r="T30" s="13"/>
      <c r="U30" s="1"/>
      <c r="V30" s="1"/>
      <c r="W30" s="1"/>
      <c r="X30" s="1"/>
      <c r="Y30" s="1"/>
      <c r="Z30" s="1"/>
    </row>
    <row r="31">
      <c r="A31" s="1"/>
      <c r="B31" s="46"/>
      <c r="C31" s="1"/>
      <c r="D31" s="1"/>
      <c r="E31" s="1"/>
      <c r="F31" s="48"/>
      <c r="G31" s="1"/>
      <c r="H31" s="1"/>
      <c r="I31" s="1"/>
      <c r="J31" s="11"/>
      <c r="K31" s="8"/>
      <c r="L31" s="8"/>
      <c r="M31" s="8"/>
      <c r="N31" s="8"/>
      <c r="O31" s="13"/>
      <c r="P31" s="11"/>
      <c r="Q31" s="66"/>
      <c r="S31" s="67"/>
      <c r="T31" s="13"/>
      <c r="U31" s="1"/>
      <c r="V31" s="1"/>
      <c r="W31" s="1"/>
      <c r="X31" s="1"/>
      <c r="Y31" s="1"/>
      <c r="Z31" s="1"/>
    </row>
    <row r="32">
      <c r="A32" s="1"/>
      <c r="B32" s="46"/>
      <c r="C32" s="1"/>
      <c r="D32" s="1"/>
      <c r="E32" s="1"/>
      <c r="F32" s="48"/>
      <c r="G32" s="1"/>
      <c r="H32" s="1"/>
      <c r="I32" s="1"/>
      <c r="J32" s="11"/>
      <c r="K32" s="8"/>
      <c r="L32" s="8"/>
      <c r="M32" s="8"/>
      <c r="N32" s="8"/>
      <c r="O32" s="13"/>
      <c r="P32" s="11"/>
      <c r="Q32" s="66"/>
      <c r="S32" s="67"/>
      <c r="T32" s="13"/>
      <c r="U32" s="1"/>
      <c r="V32" s="1"/>
      <c r="W32" s="1"/>
      <c r="X32" s="1"/>
      <c r="Y32" s="1"/>
      <c r="Z32" s="1"/>
    </row>
    <row r="33">
      <c r="A33" s="1"/>
      <c r="B33" s="46"/>
      <c r="C33" s="1"/>
      <c r="D33" s="1"/>
      <c r="E33" s="1"/>
      <c r="F33" s="48"/>
      <c r="G33" s="1"/>
      <c r="H33" s="1"/>
      <c r="I33" s="1"/>
      <c r="J33" s="11"/>
      <c r="K33" s="8"/>
      <c r="L33" s="8"/>
      <c r="M33" s="8"/>
      <c r="N33" s="8"/>
      <c r="O33" s="13"/>
      <c r="P33" s="11"/>
      <c r="Q33" s="66"/>
      <c r="S33" s="67"/>
      <c r="T33" s="13"/>
      <c r="U33" s="1"/>
      <c r="V33" s="1"/>
      <c r="W33" s="1"/>
      <c r="X33" s="1"/>
      <c r="Y33" s="1"/>
      <c r="Z33" s="1"/>
    </row>
    <row r="34">
      <c r="A34" s="1"/>
      <c r="B34" s="46"/>
      <c r="C34" s="1"/>
      <c r="D34" s="1"/>
      <c r="E34" s="1"/>
      <c r="F34" s="1"/>
      <c r="G34" s="1"/>
      <c r="H34" s="1"/>
      <c r="I34" s="1"/>
      <c r="J34" s="11"/>
      <c r="K34" s="8"/>
      <c r="L34" s="8"/>
      <c r="M34" s="8"/>
      <c r="N34" s="8"/>
      <c r="O34" s="13"/>
      <c r="P34" s="11"/>
      <c r="Q34" s="66"/>
      <c r="S34" s="67"/>
      <c r="T34" s="13"/>
      <c r="U34" s="1"/>
      <c r="V34" s="1"/>
      <c r="W34" s="1"/>
      <c r="X34" s="1"/>
      <c r="Y34" s="1"/>
      <c r="Z34" s="1"/>
    </row>
    <row r="35">
      <c r="A35" s="1"/>
      <c r="B35" s="46"/>
      <c r="C35" s="1"/>
      <c r="D35" s="1"/>
      <c r="E35" s="1"/>
      <c r="F35" s="1"/>
      <c r="G35" s="1"/>
      <c r="H35" s="1"/>
      <c r="I35" s="1"/>
      <c r="J35" s="11"/>
      <c r="K35" s="8"/>
      <c r="L35" s="8"/>
      <c r="M35" s="8"/>
      <c r="N35" s="8"/>
      <c r="O35" s="13"/>
      <c r="P35" s="11"/>
      <c r="Q35" s="66"/>
      <c r="S35" s="67"/>
      <c r="T35" s="13"/>
      <c r="U35" s="1"/>
      <c r="V35" s="1"/>
      <c r="W35" s="1"/>
      <c r="X35" s="1"/>
      <c r="Y35" s="1"/>
      <c r="Z35" s="1"/>
    </row>
    <row r="36">
      <c r="A36" s="1"/>
      <c r="B36" s="46"/>
      <c r="C36" s="1"/>
      <c r="D36" s="1"/>
      <c r="E36" s="1"/>
      <c r="F36" s="1"/>
      <c r="G36" s="1"/>
      <c r="H36" s="1"/>
      <c r="I36" s="1"/>
      <c r="J36" s="11"/>
      <c r="K36" s="8"/>
      <c r="L36" s="8"/>
      <c r="M36" s="8"/>
      <c r="N36" s="8"/>
      <c r="O36" s="13"/>
      <c r="P36" s="11"/>
      <c r="Q36" s="66"/>
      <c r="S36" s="67"/>
      <c r="T36" s="13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1"/>
      <c r="K37" s="8"/>
      <c r="L37" s="8"/>
      <c r="M37" s="8"/>
      <c r="N37" s="8"/>
      <c r="O37" s="13"/>
      <c r="P37" s="11"/>
      <c r="Q37" s="66"/>
      <c r="S37" s="67"/>
      <c r="T37" s="13"/>
      <c r="U37" s="1"/>
      <c r="V37" s="1"/>
      <c r="W37" s="1"/>
      <c r="X37" s="1"/>
      <c r="Y37" s="1"/>
      <c r="Z37" s="1"/>
    </row>
    <row r="38">
      <c r="A38" s="1"/>
      <c r="B38" s="1"/>
      <c r="C38" s="49"/>
      <c r="D38" s="1"/>
      <c r="E38" s="1"/>
      <c r="F38" s="1"/>
      <c r="G38" s="1"/>
      <c r="H38" s="1"/>
      <c r="I38" s="1"/>
      <c r="J38" s="11"/>
      <c r="K38" s="8"/>
      <c r="L38" s="8"/>
      <c r="M38" s="8"/>
      <c r="N38" s="8"/>
      <c r="O38" s="13"/>
      <c r="P38" s="11"/>
      <c r="Q38" s="68"/>
      <c r="R38" s="69"/>
      <c r="S38" s="70"/>
      <c r="T38" s="13"/>
      <c r="U38" s="1"/>
      <c r="V38" s="1"/>
      <c r="W38" s="1"/>
      <c r="X38" s="1"/>
      <c r="Y38" s="1"/>
      <c r="Z38" s="1"/>
    </row>
    <row r="39">
      <c r="A39" s="1"/>
      <c r="B39" s="1"/>
      <c r="C39" s="49"/>
      <c r="D39" s="1"/>
      <c r="E39" s="1"/>
      <c r="F39" s="1"/>
      <c r="G39" s="1"/>
      <c r="H39" s="1"/>
      <c r="I39" s="1"/>
      <c r="J39" s="11"/>
      <c r="K39" s="8"/>
      <c r="L39" s="8"/>
      <c r="M39" s="8"/>
      <c r="N39" s="8"/>
      <c r="O39" s="13"/>
      <c r="P39" s="1"/>
      <c r="Q39" s="39"/>
      <c r="R39" s="39"/>
      <c r="S39" s="39"/>
      <c r="T39" s="1"/>
      <c r="U39" s="1"/>
      <c r="V39" s="1"/>
      <c r="W39" s="1"/>
      <c r="X39" s="1"/>
      <c r="Y39" s="1"/>
      <c r="Z39" s="1"/>
    </row>
    <row r="40">
      <c r="A40" s="1"/>
      <c r="B40" s="1"/>
      <c r="C40" s="49"/>
      <c r="D40" s="1"/>
      <c r="E40" s="1"/>
      <c r="F40" s="47"/>
      <c r="G40" s="1"/>
      <c r="H40" s="1"/>
      <c r="I40" s="1"/>
      <c r="J40" s="11"/>
      <c r="K40" s="8"/>
      <c r="L40" s="8"/>
      <c r="M40" s="8"/>
      <c r="N40" s="8"/>
      <c r="O40" s="1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49"/>
      <c r="D41" s="1"/>
      <c r="E41" s="1"/>
      <c r="F41" s="1"/>
      <c r="G41" s="1"/>
      <c r="H41" s="1"/>
      <c r="I41" s="1"/>
      <c r="J41" s="11"/>
      <c r="K41" s="8"/>
      <c r="L41" s="8"/>
      <c r="M41" s="8"/>
      <c r="N41" s="8"/>
      <c r="O41" s="1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1"/>
      <c r="K42" s="8"/>
      <c r="L42" s="8"/>
      <c r="M42" s="8"/>
      <c r="N42" s="8"/>
      <c r="O42" s="1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49"/>
      <c r="D43" s="1"/>
      <c r="E43" s="1"/>
      <c r="F43" s="50"/>
      <c r="G43" s="1"/>
      <c r="H43" s="1"/>
      <c r="I43" s="1"/>
      <c r="J43" s="11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4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50"/>
      <c r="D48" s="50"/>
      <c r="E48" s="50"/>
      <c r="F48" s="50"/>
      <c r="G48" s="50"/>
      <c r="H48" s="50"/>
      <c r="I48" s="1"/>
      <c r="J48" s="1"/>
      <c r="K48" s="50"/>
      <c r="L48" s="50"/>
      <c r="M48" s="50"/>
      <c r="N48" s="50"/>
      <c r="O48" s="50"/>
      <c r="P48" s="50"/>
      <c r="Q48" s="50"/>
      <c r="R48" s="50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50"/>
      <c r="D49" s="50"/>
      <c r="E49" s="50"/>
      <c r="F49" s="50"/>
      <c r="G49" s="50"/>
      <c r="H49" s="50"/>
      <c r="I49" s="1"/>
      <c r="J49" s="1"/>
      <c r="K49" s="50"/>
      <c r="L49" s="50"/>
      <c r="M49" s="50"/>
      <c r="N49" s="50"/>
      <c r="O49" s="50"/>
      <c r="P49" s="50"/>
      <c r="Q49" s="50"/>
      <c r="R49" s="50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50"/>
      <c r="J50" s="5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50"/>
      <c r="J51" s="5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51"/>
      <c r="B1001" s="51"/>
      <c r="C1001" s="51"/>
      <c r="D1001" s="51"/>
      <c r="E1001" s="51"/>
      <c r="F1001" s="51"/>
      <c r="G1001" s="51"/>
      <c r="H1001" s="51"/>
      <c r="I1001" s="1"/>
      <c r="J1001" s="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</row>
    <row r="1002">
      <c r="A1002" s="51"/>
      <c r="B1002" s="51"/>
      <c r="C1002" s="51"/>
      <c r="D1002" s="51"/>
      <c r="E1002" s="51"/>
      <c r="F1002" s="51"/>
      <c r="G1002" s="51"/>
      <c r="H1002" s="51"/>
      <c r="I1002" s="1"/>
      <c r="J1002" s="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</row>
  </sheetData>
  <mergeCells count="10">
    <mergeCell ref="I18:J18"/>
    <mergeCell ref="I19:J19"/>
    <mergeCell ref="Q19:S38"/>
    <mergeCell ref="B2:I3"/>
    <mergeCell ref="B7:C7"/>
    <mergeCell ref="E7:F7"/>
    <mergeCell ref="I7:J7"/>
    <mergeCell ref="B13:C13"/>
    <mergeCell ref="E13:F13"/>
    <mergeCell ref="I17:J1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09D"/>
    <pageSetUpPr/>
  </sheetPr>
  <sheetViews>
    <sheetView showGridLines="0" workbookViewId="0"/>
  </sheetViews>
  <sheetFormatPr customHeight="1" defaultColWidth="11.22" defaultRowHeight="15.0"/>
  <cols>
    <col customWidth="1" min="1" max="1" width="3.67"/>
    <col customWidth="1" min="2" max="2" width="23.11"/>
    <col customWidth="1" min="3" max="5" width="13.44"/>
    <col customWidth="1" min="6" max="6" width="13.11"/>
    <col customWidth="1" min="7" max="7" width="9.0"/>
    <col customWidth="1" min="8" max="11" width="13.44"/>
    <col customWidth="1" min="12" max="26" width="11.0"/>
  </cols>
  <sheetData>
    <row r="1" ht="9.75" customHeigh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>
      <c r="A2" s="71"/>
      <c r="B2" s="72" t="s">
        <v>26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>
      <c r="A3" s="71"/>
      <c r="B3" s="72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ht="18.75" customHeight="1">
      <c r="A5" s="71"/>
      <c r="B5" s="73" t="s">
        <v>37</v>
      </c>
      <c r="C5" s="73" t="s">
        <v>38</v>
      </c>
      <c r="D5" s="74" t="s">
        <v>39</v>
      </c>
      <c r="E5" s="75"/>
      <c r="F5" s="76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>
      <c r="A6" s="71"/>
      <c r="B6" s="77" t="s">
        <v>40</v>
      </c>
      <c r="C6" s="78">
        <v>135.0</v>
      </c>
      <c r="D6" s="79" t="s">
        <v>41</v>
      </c>
      <c r="E6" s="75"/>
      <c r="F6" s="76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ht="27.0" customHeight="1">
      <c r="A7" s="71"/>
      <c r="B7" s="77" t="s">
        <v>42</v>
      </c>
      <c r="C7" s="78">
        <f>15*15</f>
        <v>225</v>
      </c>
      <c r="D7" s="79" t="s">
        <v>43</v>
      </c>
      <c r="E7" s="75"/>
      <c r="F7" s="76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ht="27.0" customHeight="1">
      <c r="A8" s="71"/>
      <c r="B8" s="77" t="s">
        <v>44</v>
      </c>
      <c r="C8" s="78">
        <f>20*10</f>
        <v>200</v>
      </c>
      <c r="D8" s="79" t="s">
        <v>45</v>
      </c>
      <c r="E8" s="75"/>
      <c r="F8" s="76"/>
      <c r="G8" s="71"/>
      <c r="H8" s="80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ht="27.0" customHeight="1">
      <c r="A9" s="71"/>
      <c r="B9" s="77" t="s">
        <v>46</v>
      </c>
      <c r="C9" s="78">
        <v>1500.0</v>
      </c>
      <c r="D9" s="79" t="s">
        <v>47</v>
      </c>
      <c r="E9" s="75"/>
      <c r="F9" s="76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ht="18.0" customHeight="1">
      <c r="A10" s="71"/>
      <c r="B10" s="77" t="s">
        <v>48</v>
      </c>
      <c r="C10" s="78">
        <v>90.0</v>
      </c>
      <c r="D10" s="81" t="s">
        <v>45</v>
      </c>
      <c r="E10" s="75"/>
      <c r="F10" s="76"/>
      <c r="G10" s="82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>
      <c r="A11" s="71"/>
      <c r="B11" s="77"/>
      <c r="C11" s="78"/>
      <c r="D11" s="83"/>
      <c r="E11" s="84"/>
      <c r="F11" s="85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ht="19.5" customHeight="1">
      <c r="A12" s="71"/>
      <c r="B12" s="86" t="s">
        <v>49</v>
      </c>
      <c r="C12" s="87">
        <v>20000.0</v>
      </c>
      <c r="D12" s="88">
        <v>20000.0</v>
      </c>
      <c r="E12" s="88">
        <v>20000.0</v>
      </c>
      <c r="F12" s="89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ht="19.5" customHeight="1">
      <c r="A13" s="71"/>
      <c r="B13" s="90"/>
      <c r="C13" s="91" t="s">
        <v>50</v>
      </c>
      <c r="D13" s="92" t="s">
        <v>51</v>
      </c>
      <c r="E13" s="92" t="s">
        <v>52</v>
      </c>
      <c r="F13" s="93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>
      <c r="A14" s="71"/>
      <c r="B14" s="94"/>
      <c r="C14" s="94"/>
      <c r="D14" s="71"/>
      <c r="E14" s="71"/>
      <c r="F14" s="71"/>
      <c r="G14" s="71"/>
      <c r="H14" s="71"/>
      <c r="I14" s="95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>
      <c r="A15" s="71"/>
      <c r="B15" s="96" t="s">
        <v>53</v>
      </c>
      <c r="C15" s="97" t="s">
        <v>54</v>
      </c>
      <c r="D15" s="75"/>
      <c r="E15" s="76"/>
      <c r="F15" s="98" t="s">
        <v>55</v>
      </c>
      <c r="G15" s="75"/>
      <c r="H15" s="76"/>
      <c r="I15" s="99" t="s">
        <v>56</v>
      </c>
      <c r="J15" s="75"/>
      <c r="K15" s="76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>
      <c r="A16" s="71"/>
      <c r="B16" s="100" t="str">
        <f>+B5</f>
        <v>Revenue streams</v>
      </c>
      <c r="C16" s="96" t="s">
        <v>50</v>
      </c>
      <c r="D16" s="96" t="s">
        <v>51</v>
      </c>
      <c r="E16" s="96" t="s">
        <v>52</v>
      </c>
      <c r="F16" s="100" t="str">
        <f t="shared" ref="F16:K16" si="1">+C16</f>
        <v>Year 1</v>
      </c>
      <c r="G16" s="100" t="str">
        <f t="shared" si="1"/>
        <v>Year 2</v>
      </c>
      <c r="H16" s="100" t="str">
        <f t="shared" si="1"/>
        <v>Year 3</v>
      </c>
      <c r="I16" s="100" t="str">
        <f t="shared" si="1"/>
        <v>Year 1</v>
      </c>
      <c r="J16" s="100" t="str">
        <f t="shared" si="1"/>
        <v>Year 2</v>
      </c>
      <c r="K16" s="100" t="str">
        <f t="shared" si="1"/>
        <v>Year 3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>
      <c r="A17" s="71"/>
      <c r="B17" s="77" t="str">
        <f t="shared" ref="B17:B22" si="3">B6</f>
        <v>Therapy sessions for senior people seeking relaxation (pack of 10)</v>
      </c>
      <c r="C17" s="101">
        <v>24.0</v>
      </c>
      <c r="D17" s="102">
        <f t="shared" ref="D17:D22" si="4">C17+(C17*$D$23)</f>
        <v>25.2</v>
      </c>
      <c r="E17" s="102">
        <f t="shared" ref="E17:E22" si="5">D17+(D17*$E$23)</f>
        <v>27.72</v>
      </c>
      <c r="F17" s="101">
        <v>24.0</v>
      </c>
      <c r="G17" s="102">
        <f t="shared" ref="G17:H17" si="2">F17+(F17*$G$23)</f>
        <v>25.2</v>
      </c>
      <c r="H17" s="102">
        <f t="shared" si="2"/>
        <v>26.46</v>
      </c>
      <c r="I17" s="101">
        <v>24.0</v>
      </c>
      <c r="J17" s="102">
        <f t="shared" ref="J17:J22" si="7">I17+(I17*$J$23)</f>
        <v>25.2</v>
      </c>
      <c r="K17" s="102">
        <f t="shared" ref="K17:K22" si="8">J17+(J17*$K$23)</f>
        <v>27.72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>
      <c r="A18" s="71"/>
      <c r="B18" s="77" t="str">
        <f t="shared" si="3"/>
        <v>Forrest walks for school pupils</v>
      </c>
      <c r="C18" s="101">
        <f>10*16</f>
        <v>160</v>
      </c>
      <c r="D18" s="102">
        <f t="shared" si="4"/>
        <v>168</v>
      </c>
      <c r="E18" s="102">
        <f t="shared" si="5"/>
        <v>184.8</v>
      </c>
      <c r="F18" s="101">
        <v>0.0</v>
      </c>
      <c r="G18" s="102">
        <f t="shared" ref="G18:H18" si="6">F18+(F18*$G$23)</f>
        <v>0</v>
      </c>
      <c r="H18" s="102">
        <f t="shared" si="6"/>
        <v>0</v>
      </c>
      <c r="I18" s="101">
        <v>160.0</v>
      </c>
      <c r="J18" s="102">
        <f t="shared" si="7"/>
        <v>168</v>
      </c>
      <c r="K18" s="102">
        <f t="shared" si="8"/>
        <v>184.8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>
      <c r="A19" s="71"/>
      <c r="B19" s="77" t="str">
        <f t="shared" si="3"/>
        <v>Family activities (forest bathing and nature walks)</v>
      </c>
      <c r="C19" s="101">
        <v>60.0</v>
      </c>
      <c r="D19" s="102">
        <f t="shared" si="4"/>
        <v>63</v>
      </c>
      <c r="E19" s="102">
        <f t="shared" si="5"/>
        <v>69.3</v>
      </c>
      <c r="F19" s="101">
        <v>60.0</v>
      </c>
      <c r="G19" s="102">
        <f t="shared" ref="G19:H19" si="9">F19+(F19*$G$23)</f>
        <v>63</v>
      </c>
      <c r="H19" s="102">
        <f t="shared" si="9"/>
        <v>66.15</v>
      </c>
      <c r="I19" s="101">
        <v>120.0</v>
      </c>
      <c r="J19" s="102">
        <f t="shared" si="7"/>
        <v>126</v>
      </c>
      <c r="K19" s="102">
        <f t="shared" si="8"/>
        <v>138.6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>
      <c r="A20" s="71"/>
      <c r="B20" s="77" t="str">
        <f t="shared" si="3"/>
        <v>Corporate retreats, day/ weekend package</v>
      </c>
      <c r="C20" s="101">
        <v>12.0</v>
      </c>
      <c r="D20" s="102">
        <f t="shared" si="4"/>
        <v>12.6</v>
      </c>
      <c r="E20" s="102">
        <f t="shared" si="5"/>
        <v>13.86</v>
      </c>
      <c r="F20" s="101">
        <v>12.0</v>
      </c>
      <c r="G20" s="102">
        <f t="shared" ref="G20:H20" si="10">F20+(F20*$G$23)</f>
        <v>12.6</v>
      </c>
      <c r="H20" s="102">
        <f t="shared" si="10"/>
        <v>13.23</v>
      </c>
      <c r="I20" s="101">
        <v>12.0</v>
      </c>
      <c r="J20" s="102">
        <f t="shared" si="7"/>
        <v>12.6</v>
      </c>
      <c r="K20" s="102">
        <f t="shared" si="8"/>
        <v>13.86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>
      <c r="A21" s="71"/>
      <c r="B21" s="77" t="str">
        <f t="shared" si="3"/>
        <v>Individual sessions</v>
      </c>
      <c r="C21" s="101">
        <v>60.0</v>
      </c>
      <c r="D21" s="102">
        <f t="shared" si="4"/>
        <v>63</v>
      </c>
      <c r="E21" s="102">
        <f t="shared" si="5"/>
        <v>69.3</v>
      </c>
      <c r="F21" s="101">
        <v>60.0</v>
      </c>
      <c r="G21" s="102">
        <f t="shared" ref="G21:H21" si="11">F21+(F21*$G$23)</f>
        <v>63</v>
      </c>
      <c r="H21" s="102">
        <f t="shared" si="11"/>
        <v>66.15</v>
      </c>
      <c r="I21" s="101">
        <v>60.0</v>
      </c>
      <c r="J21" s="102">
        <f t="shared" si="7"/>
        <v>63</v>
      </c>
      <c r="K21" s="102">
        <f t="shared" si="8"/>
        <v>69.3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>
      <c r="A22" s="71"/>
      <c r="B22" s="77" t="str">
        <f t="shared" si="3"/>
        <v/>
      </c>
      <c r="C22" s="101"/>
      <c r="D22" s="103">
        <f t="shared" si="4"/>
        <v>0</v>
      </c>
      <c r="E22" s="103">
        <f t="shared" si="5"/>
        <v>0</v>
      </c>
      <c r="F22" s="101"/>
      <c r="G22" s="103">
        <f t="shared" ref="G22:H22" si="12">F22+(F22*$G$23)</f>
        <v>0</v>
      </c>
      <c r="H22" s="103">
        <f t="shared" si="12"/>
        <v>0</v>
      </c>
      <c r="I22" s="101"/>
      <c r="J22" s="103">
        <f t="shared" si="7"/>
        <v>0</v>
      </c>
      <c r="K22" s="103">
        <f t="shared" si="8"/>
        <v>0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>
      <c r="A23" s="71"/>
      <c r="B23" s="104" t="s">
        <v>57</v>
      </c>
      <c r="C23" s="105"/>
      <c r="D23" s="106">
        <v>0.05</v>
      </c>
      <c r="E23" s="106">
        <v>0.1</v>
      </c>
      <c r="F23" s="105"/>
      <c r="G23" s="106">
        <v>0.05</v>
      </c>
      <c r="H23" s="106">
        <v>0.1</v>
      </c>
      <c r="I23" s="105"/>
      <c r="J23" s="106">
        <v>0.05</v>
      </c>
      <c r="K23" s="106">
        <v>0.1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>
      <c r="A24" s="71"/>
      <c r="B24" s="104"/>
      <c r="C24" s="105"/>
      <c r="D24" s="105"/>
      <c r="E24" s="105"/>
      <c r="F24" s="105"/>
      <c r="G24" s="105"/>
      <c r="H24" s="105"/>
      <c r="I24" s="105"/>
      <c r="J24" s="105"/>
      <c r="K24" s="105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>
      <c r="A26" s="71"/>
      <c r="B26" s="96" t="s">
        <v>26</v>
      </c>
      <c r="C26" s="97" t="s">
        <v>54</v>
      </c>
      <c r="D26" s="75"/>
      <c r="E26" s="76"/>
      <c r="F26" s="98" t="s">
        <v>55</v>
      </c>
      <c r="G26" s="75"/>
      <c r="H26" s="76"/>
      <c r="I26" s="99" t="s">
        <v>56</v>
      </c>
      <c r="J26" s="75"/>
      <c r="K26" s="76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>
      <c r="A27" s="71"/>
      <c r="B27" s="96" t="s">
        <v>37</v>
      </c>
      <c r="C27" s="96" t="s">
        <v>50</v>
      </c>
      <c r="D27" s="96" t="s">
        <v>51</v>
      </c>
      <c r="E27" s="96" t="s">
        <v>52</v>
      </c>
      <c r="F27" s="100" t="str">
        <f t="shared" ref="F27:K27" si="13">+C27</f>
        <v>Year 1</v>
      </c>
      <c r="G27" s="100" t="str">
        <f t="shared" si="13"/>
        <v>Year 2</v>
      </c>
      <c r="H27" s="100" t="str">
        <f t="shared" si="13"/>
        <v>Year 3</v>
      </c>
      <c r="I27" s="100" t="str">
        <f t="shared" si="13"/>
        <v>Year 1</v>
      </c>
      <c r="J27" s="100" t="str">
        <f t="shared" si="13"/>
        <v>Year 2</v>
      </c>
      <c r="K27" s="100" t="str">
        <f t="shared" si="13"/>
        <v>Year 3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>
      <c r="A28" s="71"/>
      <c r="B28" s="77" t="str">
        <f>B6</f>
        <v>Therapy sessions for senior people seeking relaxation (pack of 10)</v>
      </c>
      <c r="C28" s="107">
        <f>C17*$C$6</f>
        <v>3240</v>
      </c>
      <c r="D28" s="107">
        <f t="shared" ref="D28:E28" si="14">D17*$C$6*(1+$C$37)</f>
        <v>3504.06</v>
      </c>
      <c r="E28" s="107">
        <f t="shared" si="14"/>
        <v>3854.466</v>
      </c>
      <c r="F28" s="107">
        <f t="shared" ref="F28:F33" si="17">F17*$C6</f>
        <v>3240</v>
      </c>
      <c r="G28" s="107">
        <f t="shared" ref="G28:H28" si="15">G17*$C$6*(1+$C$37)</f>
        <v>3504.06</v>
      </c>
      <c r="H28" s="107">
        <f t="shared" si="15"/>
        <v>3679.263</v>
      </c>
      <c r="I28" s="107">
        <f>I17*$C$6</f>
        <v>3240</v>
      </c>
      <c r="J28" s="107">
        <f>J17*$C$6*(1+$C$37)</f>
        <v>3504.06</v>
      </c>
      <c r="K28" s="107">
        <f>K17*$C$6</f>
        <v>3742.2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>
      <c r="A29" s="71"/>
      <c r="B29" s="77" t="str">
        <f t="shared" ref="B29:B31" si="19">B18</f>
        <v>Forrest walks for school pupils</v>
      </c>
      <c r="C29" s="107">
        <f>C18*$C$7</f>
        <v>36000</v>
      </c>
      <c r="D29" s="107">
        <f t="shared" ref="D29:E29" si="16">D18*$C$7*(1+$C$37)</f>
        <v>38934</v>
      </c>
      <c r="E29" s="107">
        <f t="shared" si="16"/>
        <v>42827.4</v>
      </c>
      <c r="F29" s="107">
        <f t="shared" si="17"/>
        <v>0</v>
      </c>
      <c r="G29" s="107">
        <f t="shared" ref="G29:H29" si="18">G18*$C$7*(1+$C$37)</f>
        <v>0</v>
      </c>
      <c r="H29" s="107">
        <f t="shared" si="18"/>
        <v>0</v>
      </c>
      <c r="I29" s="107">
        <f>I18*$C$7</f>
        <v>36000</v>
      </c>
      <c r="J29" s="107">
        <f>J18*$C$7*(1+$C$37)</f>
        <v>38934</v>
      </c>
      <c r="K29" s="107">
        <f>K18*$C$7</f>
        <v>41580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>
      <c r="A30" s="71"/>
      <c r="B30" s="77" t="str">
        <f t="shared" si="19"/>
        <v>Family activities (forest bathing and nature walks)</v>
      </c>
      <c r="C30" s="107">
        <f>C19*$C$8</f>
        <v>12000</v>
      </c>
      <c r="D30" s="107">
        <f t="shared" ref="D30:E30" si="20">D19*$C$8*(1+$C$37)</f>
        <v>12978</v>
      </c>
      <c r="E30" s="107">
        <f t="shared" si="20"/>
        <v>14275.8</v>
      </c>
      <c r="F30" s="107">
        <f t="shared" si="17"/>
        <v>12000</v>
      </c>
      <c r="G30" s="107">
        <f t="shared" ref="G30:H30" si="21">G19*$C$8*(1+$C$37)</f>
        <v>12978</v>
      </c>
      <c r="H30" s="107">
        <f t="shared" si="21"/>
        <v>13626.9</v>
      </c>
      <c r="I30" s="107">
        <f>I19*$C$8</f>
        <v>24000</v>
      </c>
      <c r="J30" s="107">
        <f>J19*$C$8*(1+$C$37)</f>
        <v>25956</v>
      </c>
      <c r="K30" s="107">
        <f>K19*$C$8</f>
        <v>27720</v>
      </c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>
      <c r="A31" s="71"/>
      <c r="B31" s="77" t="str">
        <f t="shared" si="19"/>
        <v>Corporate retreats, day/ weekend package</v>
      </c>
      <c r="C31" s="107">
        <f>C20*$C$9</f>
        <v>18000</v>
      </c>
      <c r="D31" s="107">
        <f t="shared" ref="D31:E31" si="22">D20*$C$9*(1+$C$37)</f>
        <v>19467</v>
      </c>
      <c r="E31" s="107">
        <f t="shared" si="22"/>
        <v>21413.7</v>
      </c>
      <c r="F31" s="107">
        <f t="shared" si="17"/>
        <v>18000</v>
      </c>
      <c r="G31" s="107">
        <f t="shared" ref="G31:H31" si="23">G20*$C$9*(1+$C$37)</f>
        <v>19467</v>
      </c>
      <c r="H31" s="107">
        <f t="shared" si="23"/>
        <v>20440.35</v>
      </c>
      <c r="I31" s="107">
        <f>I20*$C$9</f>
        <v>18000</v>
      </c>
      <c r="J31" s="107">
        <f>J20*$C$9*(1+$C$37)</f>
        <v>19467</v>
      </c>
      <c r="K31" s="107">
        <f>K20*$C$9</f>
        <v>20790</v>
      </c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>
      <c r="A32" s="71"/>
      <c r="B32" s="77" t="str">
        <f t="shared" ref="B32:B33" si="26">B10</f>
        <v>Individual sessions</v>
      </c>
      <c r="C32" s="107">
        <f>C21*$C$10</f>
        <v>5400</v>
      </c>
      <c r="D32" s="107">
        <f t="shared" ref="D32:E32" si="24">D21*$C$10*(1+$C$37)</f>
        <v>5840.1</v>
      </c>
      <c r="E32" s="107">
        <f t="shared" si="24"/>
        <v>6424.11</v>
      </c>
      <c r="F32" s="107">
        <f t="shared" si="17"/>
        <v>5400</v>
      </c>
      <c r="G32" s="107">
        <f t="shared" ref="G32:H32" si="25">G21*$C$10*(1+$C$37)</f>
        <v>5840.1</v>
      </c>
      <c r="H32" s="107">
        <f t="shared" si="25"/>
        <v>6132.105</v>
      </c>
      <c r="I32" s="107">
        <f>I21*$C$10</f>
        <v>5400</v>
      </c>
      <c r="J32" s="107">
        <f>J21*$C$10*(1+$C$37)</f>
        <v>5840.1</v>
      </c>
      <c r="K32" s="107">
        <f>K21*$C$10</f>
        <v>6237</v>
      </c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>
      <c r="A33" s="71"/>
      <c r="B33" s="77" t="str">
        <f t="shared" si="26"/>
        <v/>
      </c>
      <c r="C33" s="107">
        <f>C22*$C$11</f>
        <v>0</v>
      </c>
      <c r="D33" s="107">
        <f t="shared" ref="D33:E33" si="27">D22*$C$11*(1+$C$37)</f>
        <v>0</v>
      </c>
      <c r="E33" s="107">
        <f t="shared" si="27"/>
        <v>0</v>
      </c>
      <c r="F33" s="107">
        <f t="shared" si="17"/>
        <v>0</v>
      </c>
      <c r="G33" s="107">
        <f t="shared" ref="G33:H33" si="28">G22*$C$11*(1+$C$37)</f>
        <v>0</v>
      </c>
      <c r="H33" s="107">
        <f t="shared" si="28"/>
        <v>0</v>
      </c>
      <c r="I33" s="107">
        <f>I22*$C$11</f>
        <v>0</v>
      </c>
      <c r="J33" s="107">
        <f>J22*$C$11*(1+$C$37)</f>
        <v>0</v>
      </c>
      <c r="K33" s="107">
        <f>K22*$C$11</f>
        <v>0</v>
      </c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>
      <c r="A34" s="71"/>
      <c r="B34" s="108" t="s">
        <v>58</v>
      </c>
      <c r="C34" s="109">
        <f t="shared" ref="C34:K34" si="29">+SUM(C28:C33)</f>
        <v>74640</v>
      </c>
      <c r="D34" s="109">
        <f t="shared" si="29"/>
        <v>80723.16</v>
      </c>
      <c r="E34" s="109">
        <f t="shared" si="29"/>
        <v>88795.476</v>
      </c>
      <c r="F34" s="109">
        <f t="shared" si="29"/>
        <v>38640</v>
      </c>
      <c r="G34" s="109">
        <f t="shared" si="29"/>
        <v>41789.16</v>
      </c>
      <c r="H34" s="109">
        <f t="shared" si="29"/>
        <v>43878.618</v>
      </c>
      <c r="I34" s="109">
        <f t="shared" si="29"/>
        <v>86640</v>
      </c>
      <c r="J34" s="109">
        <f t="shared" si="29"/>
        <v>93701.16</v>
      </c>
      <c r="K34" s="109">
        <f t="shared" si="29"/>
        <v>100069.2</v>
      </c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>
      <c r="A37" s="71"/>
      <c r="B37" s="110" t="s">
        <v>59</v>
      </c>
      <c r="C37" s="111">
        <v>0.03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9.75" customHeigh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9.75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9.75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9.75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9.75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9.75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9.75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9.75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9.75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9.75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9.75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9.75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9.75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9.75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9.75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9.75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9.75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9.75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9.75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9.75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9.75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9.75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9.75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9.75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9.75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9.75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9.75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9.75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9.75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9.75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9.75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9.75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9.75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9.75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9.75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9.75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9.7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9.75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9.75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9.75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9.75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9.75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9.75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9.75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9.75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9.75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9.75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9.7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9.75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9.75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9.75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9.75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9.75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9.75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9.75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9.75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9.75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9.75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9.75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9.7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9.75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9.75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9.75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9.75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9.7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9.7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9.75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9.75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9.75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9.75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9.75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9.75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9.75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9.75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9.75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9.75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9.75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9.75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9.75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9.7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9.7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9.7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9.7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9.7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9.7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9.7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9.7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9.7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9.7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9.7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9.7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9.7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9.7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9.7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9.7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9.7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9.7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9.7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9.7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9.7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9.7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9.7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9.7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9.7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9.7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9.7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9.7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9.7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9.7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9.7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9.7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9.7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9.7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9.7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9.7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9.7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9.7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9.7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9.7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9.7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9.7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9.7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9.7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9.7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9.7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9.7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9.7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9.7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9.7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9.7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9.7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9.7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9.7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9.7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9.7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9.7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9.7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9.7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9.7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9.7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9.7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9.7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9.7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9.7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9.7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9.7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9.7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9.7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9.7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9.7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9.7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9.7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9.7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ht="9.7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ht="9.7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ht="9.7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ht="9.7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</sheetData>
  <mergeCells count="13">
    <mergeCell ref="C15:E15"/>
    <mergeCell ref="F15:H15"/>
    <mergeCell ref="I15:K15"/>
    <mergeCell ref="C26:E26"/>
    <mergeCell ref="F26:H26"/>
    <mergeCell ref="I26:K26"/>
    <mergeCell ref="D5:F5"/>
    <mergeCell ref="D6:F6"/>
    <mergeCell ref="D7:F7"/>
    <mergeCell ref="D8:F8"/>
    <mergeCell ref="D9:F9"/>
    <mergeCell ref="D10:F10"/>
    <mergeCell ref="D11:F1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09D"/>
    <pageSetUpPr/>
  </sheetPr>
  <sheetViews>
    <sheetView showGridLines="0" workbookViewId="0"/>
  </sheetViews>
  <sheetFormatPr customHeight="1" defaultColWidth="11.22" defaultRowHeight="15.0"/>
  <cols>
    <col customWidth="1" min="1" max="1" width="3.44"/>
    <col customWidth="1" min="2" max="2" width="25.44"/>
    <col customWidth="1" min="3" max="3" width="12.67"/>
    <col customWidth="1" min="4" max="5" width="15.56"/>
    <col customWidth="1" min="6" max="25" width="11.0"/>
  </cols>
  <sheetData>
    <row r="1" ht="9.75" customHeight="1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>
      <c r="A2" s="71"/>
      <c r="B2" s="72" t="s">
        <v>25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</row>
    <row r="4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</row>
    <row r="5" ht="15.0" customHeight="1">
      <c r="A5" s="71"/>
      <c r="B5" s="112" t="s">
        <v>60</v>
      </c>
      <c r="C5" s="112" t="s">
        <v>61</v>
      </c>
      <c r="D5" s="113" t="s">
        <v>39</v>
      </c>
      <c r="E5" s="114"/>
      <c r="F5" s="115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</row>
    <row r="6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</row>
    <row r="7">
      <c r="A7" s="71"/>
      <c r="B7" s="116" t="s">
        <v>4</v>
      </c>
      <c r="C7" s="117" t="s">
        <v>61</v>
      </c>
      <c r="D7" s="118"/>
      <c r="E7" s="119"/>
      <c r="F7" s="120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</row>
    <row r="8">
      <c r="B8" s="121" t="s">
        <v>62</v>
      </c>
      <c r="C8" s="122">
        <v>100.0</v>
      </c>
      <c r="D8" s="123" t="s">
        <v>63</v>
      </c>
      <c r="E8" s="75"/>
      <c r="F8" s="76"/>
      <c r="G8" s="71"/>
      <c r="H8" s="71"/>
      <c r="I8" s="71"/>
    </row>
    <row r="9">
      <c r="B9" s="121" t="s">
        <v>64</v>
      </c>
      <c r="C9" s="122">
        <v>40.0</v>
      </c>
      <c r="D9" s="123"/>
      <c r="E9" s="75"/>
      <c r="F9" s="76"/>
      <c r="G9" s="71"/>
      <c r="H9" s="71"/>
      <c r="I9" s="71"/>
    </row>
    <row r="10">
      <c r="B10" s="121" t="s">
        <v>65</v>
      </c>
      <c r="C10" s="122">
        <v>10.0</v>
      </c>
      <c r="D10" s="123"/>
      <c r="E10" s="75"/>
      <c r="F10" s="76"/>
      <c r="G10" s="71"/>
      <c r="H10" s="71"/>
      <c r="I10" s="71"/>
    </row>
    <row r="11">
      <c r="B11" s="121" t="s">
        <v>66</v>
      </c>
      <c r="C11" s="122">
        <v>30.0</v>
      </c>
      <c r="D11" s="123"/>
      <c r="E11" s="75"/>
      <c r="F11" s="76"/>
      <c r="G11" s="71"/>
      <c r="H11" s="71"/>
      <c r="I11" s="71"/>
    </row>
    <row r="12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>
      <c r="A13" s="71"/>
      <c r="B13" s="116" t="s">
        <v>3</v>
      </c>
      <c r="C13" s="117" t="s">
        <v>67</v>
      </c>
      <c r="D13" s="118"/>
      <c r="E13" s="119"/>
      <c r="F13" s="120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</row>
    <row r="14">
      <c r="A14" s="71"/>
      <c r="B14" s="121" t="s">
        <v>68</v>
      </c>
      <c r="C14" s="122">
        <v>0.0</v>
      </c>
      <c r="D14" s="123" t="s">
        <v>69</v>
      </c>
      <c r="E14" s="75"/>
      <c r="F14" s="76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</row>
    <row r="15">
      <c r="A15" s="71"/>
      <c r="B15" s="121" t="s">
        <v>70</v>
      </c>
      <c r="C15" s="122">
        <v>40000.0</v>
      </c>
      <c r="D15" s="123"/>
      <c r="E15" s="75"/>
      <c r="F15" s="76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</row>
    <row r="16">
      <c r="A16" s="71"/>
      <c r="B16" s="121" t="s">
        <v>71</v>
      </c>
      <c r="C16" s="122">
        <f>290*12</f>
        <v>3480</v>
      </c>
      <c r="D16" s="123"/>
      <c r="E16" s="75"/>
      <c r="F16" s="76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</row>
    <row r="17">
      <c r="A17" s="71"/>
      <c r="B17" s="121" t="s">
        <v>72</v>
      </c>
      <c r="C17" s="122">
        <v>250.0</v>
      </c>
      <c r="D17" s="123"/>
      <c r="E17" s="75"/>
      <c r="F17" s="76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</row>
    <row r="18">
      <c r="A18" s="71"/>
      <c r="B18" s="121" t="s">
        <v>73</v>
      </c>
      <c r="C18" s="122">
        <f>250*12</f>
        <v>3000</v>
      </c>
      <c r="D18" s="123"/>
      <c r="E18" s="75"/>
      <c r="F18" s="76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</row>
    <row r="19">
      <c r="A19" s="71"/>
      <c r="B19" s="121" t="s">
        <v>74</v>
      </c>
      <c r="C19" s="122">
        <v>400.0</v>
      </c>
      <c r="D19" s="123"/>
      <c r="E19" s="75"/>
      <c r="F19" s="76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</row>
    <row r="20">
      <c r="A20" s="71"/>
      <c r="B20" s="121" t="s">
        <v>75</v>
      </c>
      <c r="C20" s="122">
        <v>100.0</v>
      </c>
      <c r="D20" s="123"/>
      <c r="E20" s="75"/>
      <c r="F20" s="76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</row>
    <row r="21">
      <c r="A21" s="71"/>
      <c r="B21" s="124"/>
      <c r="C21" s="122"/>
      <c r="D21" s="123"/>
      <c r="E21" s="75"/>
      <c r="F21" s="76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</row>
    <row r="22">
      <c r="A22" s="71"/>
      <c r="B22" s="124"/>
      <c r="C22" s="122"/>
      <c r="D22" s="123"/>
      <c r="E22" s="75"/>
      <c r="F22" s="76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</row>
    <row r="23">
      <c r="A23" s="71"/>
      <c r="B23" s="121"/>
      <c r="C23" s="122"/>
      <c r="D23" s="123"/>
      <c r="E23" s="75"/>
      <c r="F23" s="76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</row>
    <row r="24">
      <c r="A24" s="71"/>
      <c r="B24" s="121"/>
      <c r="C24" s="122"/>
      <c r="D24" s="123"/>
      <c r="E24" s="75"/>
      <c r="F24" s="76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</row>
    <row r="25">
      <c r="A25" s="71"/>
      <c r="B25" s="121"/>
      <c r="C25" s="122"/>
      <c r="D25" s="123"/>
      <c r="E25" s="75"/>
      <c r="F25" s="76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</row>
    <row r="26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</row>
    <row r="2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</row>
    <row r="28">
      <c r="A28" s="71"/>
      <c r="B28" s="71"/>
      <c r="C28" s="97" t="s">
        <v>54</v>
      </c>
      <c r="D28" s="75"/>
      <c r="E28" s="76"/>
      <c r="F28" s="98" t="s">
        <v>55</v>
      </c>
      <c r="G28" s="75"/>
      <c r="H28" s="76"/>
      <c r="I28" s="99" t="s">
        <v>56</v>
      </c>
      <c r="J28" s="75"/>
      <c r="K28" s="76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</row>
    <row r="29">
      <c r="A29" s="71"/>
      <c r="B29" s="112" t="s">
        <v>4</v>
      </c>
      <c r="C29" s="96" t="s">
        <v>50</v>
      </c>
      <c r="D29" s="96" t="s">
        <v>51</v>
      </c>
      <c r="E29" s="96" t="s">
        <v>52</v>
      </c>
      <c r="F29" s="100" t="str">
        <f t="shared" ref="F29:K29" si="1">+C29</f>
        <v>Year 1</v>
      </c>
      <c r="G29" s="100" t="str">
        <f t="shared" si="1"/>
        <v>Year 2</v>
      </c>
      <c r="H29" s="100" t="str">
        <f t="shared" si="1"/>
        <v>Year 3</v>
      </c>
      <c r="I29" s="100" t="str">
        <f t="shared" si="1"/>
        <v>Year 1</v>
      </c>
      <c r="J29" s="100" t="str">
        <f t="shared" si="1"/>
        <v>Year 2</v>
      </c>
      <c r="K29" s="100" t="str">
        <f t="shared" si="1"/>
        <v>Year 3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</row>
    <row r="30">
      <c r="A30" s="71"/>
      <c r="B30" s="121" t="str">
        <f t="shared" ref="B30:B33" si="2">B8</f>
        <v>Guide</v>
      </c>
      <c r="C30" s="125">
        <f>$C8*(Revenue!C17+Revenue!C18+Revenue!C19)</f>
        <v>24400</v>
      </c>
      <c r="D30" s="125">
        <f>$C8*(Revenue!D17+Revenue!D18+Revenue!D19)</f>
        <v>25620</v>
      </c>
      <c r="E30" s="125">
        <f>$C8*(Revenue!E17+Revenue!E18+Revenue!E19)</f>
        <v>28182</v>
      </c>
      <c r="F30" s="125">
        <f>$C8*(Revenue!F17+Revenue!F18+Revenue!F19)</f>
        <v>8400</v>
      </c>
      <c r="G30" s="125">
        <f>$C8*(Revenue!G17+Revenue!G18+Revenue!G19)</f>
        <v>8820</v>
      </c>
      <c r="H30" s="125">
        <f>$C8*(Revenue!H17+Revenue!H18+Revenue!H19)</f>
        <v>9261</v>
      </c>
      <c r="I30" s="125">
        <f>$C8*(Revenue!I17+Revenue!I18+Revenue!I19)</f>
        <v>30400</v>
      </c>
      <c r="J30" s="125">
        <f>$C8*(Revenue!J17+Revenue!J18+Revenue!J19)</f>
        <v>31920</v>
      </c>
      <c r="K30" s="125">
        <f>$C8*(Revenue!K17+Revenue!K18+Revenue!K19)</f>
        <v>35112</v>
      </c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</row>
    <row r="31">
      <c r="A31" s="71"/>
      <c r="B31" s="121" t="str">
        <f t="shared" si="2"/>
        <v>Transport of guides and workers</v>
      </c>
      <c r="C31" s="125">
        <f>$C$9*(Revenue!C18+Revenue!C19+Revenue!C20)</f>
        <v>9280</v>
      </c>
      <c r="D31" s="125">
        <f>$C$9*(Revenue!D18+Revenue!D19+Revenue!D20)</f>
        <v>9744</v>
      </c>
      <c r="E31" s="125">
        <f>$C$9*(Revenue!E18+Revenue!E19+Revenue!E20)</f>
        <v>10718.4</v>
      </c>
      <c r="F31" s="125">
        <f>$C$9*(Revenue!F18+Revenue!F19+Revenue!F20)</f>
        <v>2880</v>
      </c>
      <c r="G31" s="125">
        <f>$C$9*(Revenue!G18+Revenue!G19+Revenue!G20)</f>
        <v>3024</v>
      </c>
      <c r="H31" s="125">
        <f>$C$9*(Revenue!H18+Revenue!H19+Revenue!H20)</f>
        <v>3175.2</v>
      </c>
      <c r="I31" s="125">
        <f>$C$9*(Revenue!I18+Revenue!I19+Revenue!I20)</f>
        <v>11680</v>
      </c>
      <c r="J31" s="125">
        <f>$C$9*(Revenue!J18+Revenue!J19+Revenue!J20)</f>
        <v>12264</v>
      </c>
      <c r="K31" s="125">
        <f>$C$9*(Revenue!K18+Revenue!K19+Revenue!K20)</f>
        <v>13490.4</v>
      </c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</row>
    <row r="32">
      <c r="A32" s="71"/>
      <c r="B32" s="121" t="str">
        <f t="shared" si="2"/>
        <v>Materials for each session</v>
      </c>
      <c r="C32" s="125">
        <f>$C$10*(Revenue!C19+Revenue!C20+Revenue!C21)</f>
        <v>1320</v>
      </c>
      <c r="D32" s="125">
        <f>$C$10*(Revenue!D19+Revenue!D20+Revenue!D21)</f>
        <v>1386</v>
      </c>
      <c r="E32" s="125">
        <f>$C$10*(Revenue!E19+Revenue!E20+Revenue!E21)</f>
        <v>1524.6</v>
      </c>
      <c r="F32" s="125">
        <f>$C$10*(Revenue!F19+Revenue!F20+Revenue!F21)</f>
        <v>1320</v>
      </c>
      <c r="G32" s="125">
        <f>$C$10*(Revenue!G19+Revenue!G20+Revenue!G21)</f>
        <v>1386</v>
      </c>
      <c r="H32" s="125">
        <f>$C$10*(Revenue!H19+Revenue!H20+Revenue!H21)</f>
        <v>1455.3</v>
      </c>
      <c r="I32" s="125">
        <f>$C$10*(Revenue!I19+Revenue!I20+Revenue!I21)</f>
        <v>1920</v>
      </c>
      <c r="J32" s="125">
        <f>$C$10*(Revenue!J19+Revenue!J20+Revenue!J21)</f>
        <v>2016</v>
      </c>
      <c r="K32" s="125">
        <f>$C$10*(Revenue!K19+Revenue!K20+Revenue!K21)</f>
        <v>2217.6</v>
      </c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</row>
    <row r="33">
      <c r="A33" s="71"/>
      <c r="B33" s="121" t="str">
        <f t="shared" si="2"/>
        <v>Catering: Food and drinks</v>
      </c>
      <c r="C33" s="125">
        <f>$C$8*(Revenue!C20+Revenue!C21+Revenue!C22)</f>
        <v>7200</v>
      </c>
      <c r="D33" s="125">
        <f>$C$8*(Revenue!D20+Revenue!D21+Revenue!D22)</f>
        <v>7560</v>
      </c>
      <c r="E33" s="125">
        <f>$C$8*(Revenue!E20+Revenue!E21+Revenue!E22)</f>
        <v>8316</v>
      </c>
      <c r="F33" s="125">
        <f>$C$8*(Revenue!F20+Revenue!F21+Revenue!F22)</f>
        <v>7200</v>
      </c>
      <c r="G33" s="125">
        <f>$C$8*(Revenue!G20+Revenue!G21+Revenue!G22)</f>
        <v>7560</v>
      </c>
      <c r="H33" s="125">
        <f>$C$8*(Revenue!H20+Revenue!H21+Revenue!H22)</f>
        <v>7938</v>
      </c>
      <c r="I33" s="125">
        <f>$C$8*(Revenue!I20+Revenue!I21+Revenue!I22)</f>
        <v>7200</v>
      </c>
      <c r="J33" s="125">
        <f>$C$8*(Revenue!J20+Revenue!J21+Revenue!J22)</f>
        <v>7560</v>
      </c>
      <c r="K33" s="125">
        <f>$C$8*(Revenue!K20+Revenue!K21+Revenue!K22)</f>
        <v>8316</v>
      </c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</row>
    <row r="34">
      <c r="A34" s="71"/>
      <c r="B34" s="108" t="s">
        <v>76</v>
      </c>
      <c r="C34" s="126">
        <f>+SUM(C30:C33)</f>
        <v>42200</v>
      </c>
      <c r="D34" s="126">
        <f t="shared" ref="D34:K34" si="3">SUM(D30:D33)</f>
        <v>44310</v>
      </c>
      <c r="E34" s="126">
        <f t="shared" si="3"/>
        <v>48741</v>
      </c>
      <c r="F34" s="126">
        <f t="shared" si="3"/>
        <v>19800</v>
      </c>
      <c r="G34" s="126">
        <f t="shared" si="3"/>
        <v>20790</v>
      </c>
      <c r="H34" s="126">
        <f t="shared" si="3"/>
        <v>21829.5</v>
      </c>
      <c r="I34" s="126">
        <f t="shared" si="3"/>
        <v>51200</v>
      </c>
      <c r="J34" s="126">
        <f t="shared" si="3"/>
        <v>53760</v>
      </c>
      <c r="K34" s="126">
        <f t="shared" si="3"/>
        <v>59136</v>
      </c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</row>
    <row r="35">
      <c r="A35" s="71"/>
      <c r="B35" s="104"/>
      <c r="C35" s="105"/>
      <c r="D35" s="106"/>
      <c r="E35" s="106"/>
      <c r="F35" s="105"/>
      <c r="G35" s="106"/>
      <c r="H35" s="106"/>
      <c r="I35" s="105"/>
      <c r="J35" s="106"/>
      <c r="K35" s="106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</row>
    <row r="3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</row>
    <row r="37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</row>
    <row r="38">
      <c r="A38" s="71"/>
      <c r="B38" s="71"/>
      <c r="C38" s="97" t="s">
        <v>54</v>
      </c>
      <c r="D38" s="75"/>
      <c r="E38" s="76"/>
      <c r="F38" s="98" t="s">
        <v>55</v>
      </c>
      <c r="G38" s="75"/>
      <c r="H38" s="76"/>
      <c r="I38" s="99" t="s">
        <v>56</v>
      </c>
      <c r="J38" s="75"/>
      <c r="K38" s="76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</row>
    <row r="39">
      <c r="A39" s="71"/>
      <c r="B39" s="112" t="s">
        <v>77</v>
      </c>
      <c r="C39" s="100" t="s">
        <v>78</v>
      </c>
      <c r="D39" s="100" t="s">
        <v>79</v>
      </c>
      <c r="E39" s="100" t="s">
        <v>80</v>
      </c>
      <c r="F39" s="100" t="s">
        <v>78</v>
      </c>
      <c r="G39" s="100" t="s">
        <v>79</v>
      </c>
      <c r="H39" s="100" t="s">
        <v>80</v>
      </c>
      <c r="I39" s="100" t="s">
        <v>78</v>
      </c>
      <c r="J39" s="100" t="s">
        <v>79</v>
      </c>
      <c r="K39" s="100" t="s">
        <v>80</v>
      </c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</row>
    <row r="40">
      <c r="A40" s="71"/>
      <c r="B40" s="121" t="str">
        <f t="shared" ref="B40:C40" si="4">B14</f>
        <v>Venue rental</v>
      </c>
      <c r="C40" s="127">
        <f t="shared" si="4"/>
        <v>0</v>
      </c>
      <c r="D40" s="127">
        <f t="shared" ref="D40:E40" si="5">C40*(1+$C$55)</f>
        <v>0</v>
      </c>
      <c r="E40" s="127">
        <f t="shared" si="5"/>
        <v>0</v>
      </c>
      <c r="F40" s="127">
        <f t="shared" ref="F40:F51" si="10">C14</f>
        <v>0</v>
      </c>
      <c r="G40" s="127">
        <f t="shared" ref="G40:H40" si="6">F40*(1+$C$55)</f>
        <v>0</v>
      </c>
      <c r="H40" s="127">
        <f t="shared" si="6"/>
        <v>0</v>
      </c>
      <c r="I40" s="127">
        <f t="shared" ref="I40:I51" si="12">C14</f>
        <v>0</v>
      </c>
      <c r="J40" s="127">
        <f t="shared" ref="J40:K40" si="7">I40*(1+$C$55)</f>
        <v>0</v>
      </c>
      <c r="K40" s="127">
        <f t="shared" si="7"/>
        <v>0</v>
      </c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</row>
    <row r="41">
      <c r="A41" s="71"/>
      <c r="B41" s="121" t="str">
        <f t="shared" ref="B41:C41" si="8">B15</f>
        <v>Salaries</v>
      </c>
      <c r="C41" s="127">
        <f t="shared" si="8"/>
        <v>40000</v>
      </c>
      <c r="D41" s="127">
        <f t="shared" ref="D41:E41" si="9">C41*(1+$C$55)</f>
        <v>41200</v>
      </c>
      <c r="E41" s="127">
        <f t="shared" si="9"/>
        <v>42436</v>
      </c>
      <c r="F41" s="127">
        <f t="shared" si="10"/>
        <v>40000</v>
      </c>
      <c r="G41" s="127">
        <f t="shared" ref="G41:H41" si="11">F41*(1+$C$55)</f>
        <v>41200</v>
      </c>
      <c r="H41" s="127">
        <f t="shared" si="11"/>
        <v>42436</v>
      </c>
      <c r="I41" s="127">
        <f t="shared" si="12"/>
        <v>40000</v>
      </c>
      <c r="J41" s="127">
        <f t="shared" ref="J41:K41" si="13">I41*(1+$C$55)</f>
        <v>41200</v>
      </c>
      <c r="K41" s="127">
        <f t="shared" si="13"/>
        <v>42436</v>
      </c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</row>
    <row r="42">
      <c r="A42" s="71"/>
      <c r="B42" s="121" t="str">
        <f t="shared" ref="B42:C42" si="14">B16</f>
        <v>Marketing</v>
      </c>
      <c r="C42" s="127">
        <f t="shared" si="14"/>
        <v>3480</v>
      </c>
      <c r="D42" s="127">
        <f t="shared" ref="D42:E42" si="15">C42*(1+$C$55)</f>
        <v>3584.4</v>
      </c>
      <c r="E42" s="127">
        <f t="shared" si="15"/>
        <v>3691.932</v>
      </c>
      <c r="F42" s="127">
        <f t="shared" si="10"/>
        <v>3480</v>
      </c>
      <c r="G42" s="127">
        <f t="shared" ref="G42:H42" si="16">F42*(1+$C$55)</f>
        <v>3584.4</v>
      </c>
      <c r="H42" s="127">
        <f t="shared" si="16"/>
        <v>3691.932</v>
      </c>
      <c r="I42" s="127">
        <f t="shared" si="12"/>
        <v>3480</v>
      </c>
      <c r="J42" s="127">
        <f t="shared" ref="J42:K42" si="17">I42*(1+$C$55)</f>
        <v>3584.4</v>
      </c>
      <c r="K42" s="127">
        <f t="shared" si="17"/>
        <v>3691.932</v>
      </c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</row>
    <row r="43">
      <c r="A43" s="71"/>
      <c r="B43" s="121" t="str">
        <f t="shared" ref="B43:C43" si="18">B17</f>
        <v>Booking platform subscription</v>
      </c>
      <c r="C43" s="127">
        <f t="shared" si="18"/>
        <v>250</v>
      </c>
      <c r="D43" s="127">
        <f t="shared" ref="D43:E43" si="19">C43*(1+$C$55)</f>
        <v>257.5</v>
      </c>
      <c r="E43" s="127">
        <f t="shared" si="19"/>
        <v>265.225</v>
      </c>
      <c r="F43" s="127">
        <f t="shared" si="10"/>
        <v>250</v>
      </c>
      <c r="G43" s="127">
        <f t="shared" ref="G43:H43" si="20">F43*(1+$C$55)</f>
        <v>257.5</v>
      </c>
      <c r="H43" s="127">
        <f t="shared" si="20"/>
        <v>265.225</v>
      </c>
      <c r="I43" s="127">
        <f t="shared" si="12"/>
        <v>250</v>
      </c>
      <c r="J43" s="127">
        <f t="shared" ref="J43:K43" si="21">I43*(1+$C$55)</f>
        <v>257.5</v>
      </c>
      <c r="K43" s="127">
        <f t="shared" si="21"/>
        <v>265.225</v>
      </c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</row>
    <row r="44">
      <c r="A44" s="71"/>
      <c r="B44" s="121" t="str">
        <f t="shared" ref="B44:C44" si="22">B18</f>
        <v>Insurance</v>
      </c>
      <c r="C44" s="127">
        <f t="shared" si="22"/>
        <v>3000</v>
      </c>
      <c r="D44" s="127">
        <f t="shared" ref="D44:E44" si="23">C44*(1+$C$55)</f>
        <v>3090</v>
      </c>
      <c r="E44" s="127">
        <f t="shared" si="23"/>
        <v>3182.7</v>
      </c>
      <c r="F44" s="127">
        <f t="shared" si="10"/>
        <v>3000</v>
      </c>
      <c r="G44" s="127">
        <f t="shared" ref="G44:H44" si="24">F44*(1+$C$55)</f>
        <v>3090</v>
      </c>
      <c r="H44" s="127">
        <f t="shared" si="24"/>
        <v>3182.7</v>
      </c>
      <c r="I44" s="127">
        <f t="shared" si="12"/>
        <v>3000</v>
      </c>
      <c r="J44" s="127">
        <f t="shared" ref="J44:K44" si="25">I44*(1+$C$55)</f>
        <v>3090</v>
      </c>
      <c r="K44" s="127">
        <f t="shared" si="25"/>
        <v>3182.7</v>
      </c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</row>
    <row r="45">
      <c r="A45" s="71"/>
      <c r="B45" s="121" t="str">
        <f t="shared" ref="B45:C45" si="26">B19</f>
        <v>Accreditation &amp; Training capacitation</v>
      </c>
      <c r="C45" s="127">
        <f t="shared" si="26"/>
        <v>400</v>
      </c>
      <c r="D45" s="127">
        <f t="shared" ref="D45:E45" si="27">C45*(1+$C$55)</f>
        <v>412</v>
      </c>
      <c r="E45" s="127">
        <f t="shared" si="27"/>
        <v>424.36</v>
      </c>
      <c r="F45" s="127">
        <f t="shared" si="10"/>
        <v>400</v>
      </c>
      <c r="G45" s="127">
        <f t="shared" ref="G45:H45" si="28">F45*(1+$C$55)</f>
        <v>412</v>
      </c>
      <c r="H45" s="127">
        <f t="shared" si="28"/>
        <v>424.36</v>
      </c>
      <c r="I45" s="127">
        <f t="shared" si="12"/>
        <v>400</v>
      </c>
      <c r="J45" s="127">
        <f t="shared" ref="J45:K45" si="29">I45*(1+$C$55)</f>
        <v>412</v>
      </c>
      <c r="K45" s="127">
        <f t="shared" si="29"/>
        <v>424.36</v>
      </c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</row>
    <row r="46">
      <c r="A46" s="71"/>
      <c r="B46" s="121" t="str">
        <f t="shared" ref="B46:C46" si="30">B20</f>
        <v>Administration (self-employed tax and others)</v>
      </c>
      <c r="C46" s="127">
        <f t="shared" si="30"/>
        <v>100</v>
      </c>
      <c r="D46" s="127">
        <f t="shared" ref="D46:E46" si="31">C46*(1+$C$55)</f>
        <v>103</v>
      </c>
      <c r="E46" s="127">
        <f t="shared" si="31"/>
        <v>106.09</v>
      </c>
      <c r="F46" s="127">
        <f t="shared" si="10"/>
        <v>100</v>
      </c>
      <c r="G46" s="127">
        <f t="shared" ref="G46:H46" si="32">F46*(1+$C$55)</f>
        <v>103</v>
      </c>
      <c r="H46" s="127">
        <f t="shared" si="32"/>
        <v>106.09</v>
      </c>
      <c r="I46" s="127">
        <f t="shared" si="12"/>
        <v>100</v>
      </c>
      <c r="J46" s="127">
        <f t="shared" ref="J46:K46" si="33">I46*(1+$C$55)</f>
        <v>103</v>
      </c>
      <c r="K46" s="127">
        <f t="shared" si="33"/>
        <v>106.09</v>
      </c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>
      <c r="A47" s="71"/>
      <c r="B47" s="121" t="str">
        <f t="shared" ref="B47:C47" si="34">B21</f>
        <v/>
      </c>
      <c r="C47" s="127" t="str">
        <f t="shared" si="34"/>
        <v/>
      </c>
      <c r="D47" s="127">
        <f t="shared" ref="D47:E47" si="35">C47*(1+$C$55)</f>
        <v>0</v>
      </c>
      <c r="E47" s="127">
        <f t="shared" si="35"/>
        <v>0</v>
      </c>
      <c r="F47" s="127" t="str">
        <f t="shared" si="10"/>
        <v/>
      </c>
      <c r="G47" s="127">
        <f t="shared" ref="G47:H47" si="36">F47*(1+$C$55)</f>
        <v>0</v>
      </c>
      <c r="H47" s="127">
        <f t="shared" si="36"/>
        <v>0</v>
      </c>
      <c r="I47" s="127" t="str">
        <f t="shared" si="12"/>
        <v/>
      </c>
      <c r="J47" s="127">
        <f t="shared" ref="J47:K47" si="37">I47*(1+$C$55)</f>
        <v>0</v>
      </c>
      <c r="K47" s="127">
        <f t="shared" si="37"/>
        <v>0</v>
      </c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</row>
    <row r="48">
      <c r="A48" s="71"/>
      <c r="B48" s="121" t="str">
        <f t="shared" ref="B48:C48" si="38">B22</f>
        <v/>
      </c>
      <c r="C48" s="127" t="str">
        <f t="shared" si="38"/>
        <v/>
      </c>
      <c r="D48" s="127">
        <f t="shared" ref="D48:E48" si="39">C48*(1+$C$55)</f>
        <v>0</v>
      </c>
      <c r="E48" s="127">
        <f t="shared" si="39"/>
        <v>0</v>
      </c>
      <c r="F48" s="127" t="str">
        <f t="shared" si="10"/>
        <v/>
      </c>
      <c r="G48" s="127">
        <f t="shared" ref="G48:H48" si="40">F48*(1+$C$55)</f>
        <v>0</v>
      </c>
      <c r="H48" s="127">
        <f t="shared" si="40"/>
        <v>0</v>
      </c>
      <c r="I48" s="127" t="str">
        <f t="shared" si="12"/>
        <v/>
      </c>
      <c r="J48" s="127">
        <f t="shared" ref="J48:K48" si="41">I48*(1+$C$55)</f>
        <v>0</v>
      </c>
      <c r="K48" s="127">
        <f t="shared" si="41"/>
        <v>0</v>
      </c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</row>
    <row r="49">
      <c r="A49" s="71"/>
      <c r="B49" s="121" t="str">
        <f t="shared" ref="B49:C49" si="42">B23</f>
        <v/>
      </c>
      <c r="C49" s="127" t="str">
        <f t="shared" si="42"/>
        <v/>
      </c>
      <c r="D49" s="127">
        <f t="shared" ref="D49:E49" si="43">C49*(1+$C$55)</f>
        <v>0</v>
      </c>
      <c r="E49" s="127">
        <f t="shared" si="43"/>
        <v>0</v>
      </c>
      <c r="F49" s="127" t="str">
        <f t="shared" si="10"/>
        <v/>
      </c>
      <c r="G49" s="127">
        <f t="shared" ref="G49:H49" si="44">F49*(1+$C$55)</f>
        <v>0</v>
      </c>
      <c r="H49" s="127">
        <f t="shared" si="44"/>
        <v>0</v>
      </c>
      <c r="I49" s="127" t="str">
        <f t="shared" si="12"/>
        <v/>
      </c>
      <c r="J49" s="127">
        <f t="shared" ref="J49:K49" si="45">I49*(1+$C$55)</f>
        <v>0</v>
      </c>
      <c r="K49" s="127">
        <f t="shared" si="45"/>
        <v>0</v>
      </c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</row>
    <row r="50">
      <c r="A50" s="71"/>
      <c r="B50" s="121" t="str">
        <f t="shared" ref="B50:C50" si="46">B24</f>
        <v/>
      </c>
      <c r="C50" s="127" t="str">
        <f t="shared" si="46"/>
        <v/>
      </c>
      <c r="D50" s="127">
        <f t="shared" ref="D50:E50" si="47">C50*(1+$C$55)</f>
        <v>0</v>
      </c>
      <c r="E50" s="127">
        <f t="shared" si="47"/>
        <v>0</v>
      </c>
      <c r="F50" s="127" t="str">
        <f t="shared" si="10"/>
        <v/>
      </c>
      <c r="G50" s="127">
        <f t="shared" ref="G50:H50" si="48">F50*(1+$C$55)</f>
        <v>0</v>
      </c>
      <c r="H50" s="127">
        <f t="shared" si="48"/>
        <v>0</v>
      </c>
      <c r="I50" s="127" t="str">
        <f t="shared" si="12"/>
        <v/>
      </c>
      <c r="J50" s="127">
        <f t="shared" ref="J50:K50" si="49">I50*(1+$C$55)</f>
        <v>0</v>
      </c>
      <c r="K50" s="127">
        <f t="shared" si="49"/>
        <v>0</v>
      </c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</row>
    <row r="51">
      <c r="A51" s="71"/>
      <c r="B51" s="121" t="str">
        <f t="shared" ref="B51:C51" si="50">B25</f>
        <v/>
      </c>
      <c r="C51" s="127" t="str">
        <f t="shared" si="50"/>
        <v/>
      </c>
      <c r="D51" s="127">
        <f t="shared" ref="D51:E51" si="51">C51*(1+$C$55)</f>
        <v>0</v>
      </c>
      <c r="E51" s="127">
        <f t="shared" si="51"/>
        <v>0</v>
      </c>
      <c r="F51" s="127" t="str">
        <f t="shared" si="10"/>
        <v/>
      </c>
      <c r="G51" s="127">
        <f t="shared" ref="G51:H51" si="52">F51*(1+$C$55)</f>
        <v>0</v>
      </c>
      <c r="H51" s="127">
        <f t="shared" si="52"/>
        <v>0</v>
      </c>
      <c r="I51" s="127" t="str">
        <f t="shared" si="12"/>
        <v/>
      </c>
      <c r="J51" s="127">
        <f t="shared" ref="J51:K51" si="53">I51*(1+$C$55)</f>
        <v>0</v>
      </c>
      <c r="K51" s="127">
        <f t="shared" si="53"/>
        <v>0</v>
      </c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</row>
    <row r="52">
      <c r="A52" s="71"/>
      <c r="B52" s="108" t="s">
        <v>81</v>
      </c>
      <c r="C52" s="126">
        <f t="shared" ref="C52:K52" si="54">+SUM(C40:C51)</f>
        <v>47230</v>
      </c>
      <c r="D52" s="126">
        <f t="shared" si="54"/>
        <v>48646.9</v>
      </c>
      <c r="E52" s="126">
        <f t="shared" si="54"/>
        <v>50106.307</v>
      </c>
      <c r="F52" s="126">
        <f t="shared" si="54"/>
        <v>47230</v>
      </c>
      <c r="G52" s="126">
        <f t="shared" si="54"/>
        <v>48646.9</v>
      </c>
      <c r="H52" s="126">
        <f t="shared" si="54"/>
        <v>50106.307</v>
      </c>
      <c r="I52" s="126">
        <f t="shared" si="54"/>
        <v>47230</v>
      </c>
      <c r="J52" s="126">
        <f t="shared" si="54"/>
        <v>48646.9</v>
      </c>
      <c r="K52" s="126">
        <f t="shared" si="54"/>
        <v>50106.307</v>
      </c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</row>
    <row r="53">
      <c r="A53" s="71"/>
      <c r="B53" s="71"/>
      <c r="C53" s="105"/>
      <c r="D53" s="105"/>
      <c r="E53" s="105"/>
      <c r="F53" s="105"/>
      <c r="G53" s="105"/>
      <c r="H53" s="105"/>
      <c r="I53" s="105"/>
      <c r="J53" s="105"/>
      <c r="K53" s="105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</row>
    <row r="54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</row>
    <row r="55">
      <c r="A55" s="71"/>
      <c r="B55" s="110" t="s">
        <v>59</v>
      </c>
      <c r="C55" s="111">
        <v>0.03</v>
      </c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</row>
    <row r="5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</row>
    <row r="57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</row>
    <row r="58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</row>
    <row r="59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</row>
    <row r="60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</row>
    <row r="61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</row>
    <row r="62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</row>
    <row r="63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</row>
    <row r="64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</row>
    <row r="65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</row>
    <row r="66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</row>
    <row r="67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</row>
    <row r="68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</row>
    <row r="69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</row>
    <row r="70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</row>
    <row r="7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</row>
    <row r="72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</row>
    <row r="73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</row>
    <row r="74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</row>
    <row r="75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</row>
    <row r="76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</row>
    <row r="77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</row>
    <row r="78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</row>
    <row r="79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</row>
    <row r="80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</row>
    <row r="8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</row>
    <row r="82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</row>
    <row r="83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</row>
    <row r="84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</row>
    <row r="85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</row>
    <row r="86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</row>
    <row r="87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</row>
    <row r="88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</row>
    <row r="89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</row>
    <row r="90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</row>
    <row r="9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</row>
    <row r="92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</row>
    <row r="93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</row>
    <row r="94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</row>
    <row r="95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</row>
    <row r="96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</row>
    <row r="98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</row>
    <row r="99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</row>
    <row r="100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</row>
    <row r="102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</row>
    <row r="103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</row>
    <row r="104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</row>
    <row r="105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</row>
    <row r="106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</row>
    <row r="107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</row>
    <row r="108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</row>
    <row r="109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</row>
    <row r="110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</row>
    <row r="11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</row>
    <row r="113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</row>
    <row r="114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</row>
    <row r="115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</row>
    <row r="116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</row>
    <row r="117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</row>
    <row r="118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</row>
    <row r="119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</row>
    <row r="120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</row>
    <row r="12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</row>
    <row r="122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</row>
    <row r="123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</row>
    <row r="124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</row>
    <row r="125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</row>
    <row r="126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</row>
    <row r="127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</row>
    <row r="128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</row>
    <row r="129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</row>
    <row r="130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</row>
    <row r="13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</row>
    <row r="132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</row>
    <row r="133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</row>
    <row r="134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</row>
    <row r="135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</row>
    <row r="136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</row>
    <row r="137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</row>
    <row r="138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</row>
    <row r="139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</row>
    <row r="140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</row>
    <row r="14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</row>
    <row r="142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</row>
    <row r="143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</row>
    <row r="144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</row>
    <row r="145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</row>
    <row r="146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</row>
    <row r="147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</row>
    <row r="148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</row>
    <row r="149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</row>
    <row r="150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</row>
    <row r="15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</row>
    <row r="152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</row>
    <row r="153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</row>
    <row r="154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</row>
    <row r="155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</row>
    <row r="156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</row>
    <row r="157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</row>
    <row r="158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</row>
    <row r="159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</row>
    <row r="160" ht="9.7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</row>
    <row r="161" ht="9.7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</row>
    <row r="162" ht="9.7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</row>
    <row r="163" ht="9.7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</row>
    <row r="164" ht="9.7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</row>
    <row r="165" ht="9.7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</row>
    <row r="166" ht="9.7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</row>
    <row r="167" ht="9.7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</row>
    <row r="168" ht="9.7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</row>
    <row r="169" ht="9.7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</row>
    <row r="170" ht="9.7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</row>
    <row r="171" ht="9.7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</row>
    <row r="172" ht="9.7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</row>
    <row r="173" ht="9.7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</row>
    <row r="174" ht="9.7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</row>
    <row r="175" ht="9.7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</row>
    <row r="176" ht="9.7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</row>
    <row r="177" ht="9.7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</row>
    <row r="178" ht="9.7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</row>
    <row r="179" ht="9.7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</row>
    <row r="180" ht="9.7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</row>
    <row r="181" ht="9.7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</row>
    <row r="182" ht="9.7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</row>
    <row r="183" ht="9.7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</row>
    <row r="184" ht="9.7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</row>
    <row r="185" ht="9.7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</row>
    <row r="186" ht="9.7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</row>
    <row r="187" ht="9.7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</row>
    <row r="188" ht="9.7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</row>
    <row r="189" ht="9.7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</row>
    <row r="190" ht="9.7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</row>
    <row r="191" ht="9.7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</row>
    <row r="192" ht="9.7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</row>
    <row r="193" ht="9.7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</row>
    <row r="194" ht="9.7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</row>
    <row r="195" ht="9.7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</row>
    <row r="196" ht="9.7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</row>
    <row r="197" ht="9.7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</row>
    <row r="198" ht="9.7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</row>
    <row r="199" ht="9.7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</row>
    <row r="200" ht="9.7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</row>
    <row r="201" ht="9.7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</row>
    <row r="202" ht="9.7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</row>
    <row r="203" ht="9.7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</row>
    <row r="204" ht="9.7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</row>
    <row r="205" ht="9.7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</row>
    <row r="206" ht="9.7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</row>
    <row r="207" ht="9.7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</row>
    <row r="208" ht="9.7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</row>
    <row r="209" ht="9.7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</row>
    <row r="210" ht="9.7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</row>
    <row r="211" ht="9.7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</row>
    <row r="212" ht="9.7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</row>
    <row r="213" ht="9.7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</row>
    <row r="214" ht="9.7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</row>
    <row r="215" ht="9.7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</row>
    <row r="216" ht="9.7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</row>
    <row r="217" ht="9.7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</row>
    <row r="218" ht="9.7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</row>
    <row r="219" ht="9.7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</row>
    <row r="220" ht="9.7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</row>
    <row r="221" ht="9.7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</row>
    <row r="222" ht="9.7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</row>
    <row r="223" ht="9.7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</row>
    <row r="224" ht="9.7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</row>
    <row r="225" ht="9.7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</row>
    <row r="226" ht="9.7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</row>
    <row r="227" ht="9.7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</row>
    <row r="228" ht="9.7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</row>
    <row r="229" ht="9.7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</row>
    <row r="230" ht="9.7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</row>
    <row r="231" ht="9.7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</row>
    <row r="232" ht="9.7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</row>
    <row r="233" ht="9.7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</row>
    <row r="234" ht="9.7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</row>
    <row r="235" ht="9.7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</row>
    <row r="236" ht="9.7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</row>
    <row r="237" ht="9.7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</row>
    <row r="238" ht="9.75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</row>
    <row r="239" ht="9.75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</row>
    <row r="240" ht="9.75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</row>
    <row r="241" ht="9.75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</row>
    <row r="242" ht="9.75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</row>
    <row r="243" ht="9.75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</row>
    <row r="244" ht="9.75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</row>
    <row r="245" ht="9.75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</row>
    <row r="246" ht="9.75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</row>
    <row r="247" ht="9.75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</row>
    <row r="248" ht="9.75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</row>
    <row r="249" ht="9.75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</row>
    <row r="250" ht="9.75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</row>
    <row r="251" ht="9.75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</row>
    <row r="252" ht="9.75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</row>
    <row r="253" ht="9.75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</row>
    <row r="254" ht="9.75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</row>
    <row r="255" ht="9.75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</row>
  </sheetData>
  <mergeCells count="25">
    <mergeCell ref="D5:F5"/>
    <mergeCell ref="E7:F7"/>
    <mergeCell ref="D8:F8"/>
    <mergeCell ref="D9:F9"/>
    <mergeCell ref="D10:F10"/>
    <mergeCell ref="D11:F11"/>
    <mergeCell ref="E13:F13"/>
    <mergeCell ref="D21:F21"/>
    <mergeCell ref="D22:F22"/>
    <mergeCell ref="D23:F23"/>
    <mergeCell ref="D24:F24"/>
    <mergeCell ref="D25:F25"/>
    <mergeCell ref="C28:E28"/>
    <mergeCell ref="F28:H28"/>
    <mergeCell ref="I28:K28"/>
    <mergeCell ref="C38:E38"/>
    <mergeCell ref="F38:H38"/>
    <mergeCell ref="I38:K38"/>
    <mergeCell ref="D14:F14"/>
    <mergeCell ref="D15:F15"/>
    <mergeCell ref="D16:F16"/>
    <mergeCell ref="D17:F17"/>
    <mergeCell ref="D18:F18"/>
    <mergeCell ref="D19:F19"/>
    <mergeCell ref="D20:F20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3.67"/>
    <col customWidth="1" min="2" max="2" width="31.56"/>
    <col customWidth="1" min="3" max="11" width="12.11"/>
    <col customWidth="1" min="12" max="12" width="2.89"/>
    <col customWidth="1" min="13" max="24" width="11.0"/>
  </cols>
  <sheetData>
    <row r="1" ht="9.7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</row>
    <row r="2">
      <c r="A2" s="128"/>
      <c r="B2" s="129" t="s">
        <v>82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</row>
    <row r="3" ht="9.75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</row>
    <row r="4" ht="9.75" customHeight="1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</row>
    <row r="5" ht="15.75" customHeight="1">
      <c r="A5" s="128"/>
      <c r="B5" s="128"/>
      <c r="C5" s="97" t="s">
        <v>54</v>
      </c>
      <c r="D5" s="75"/>
      <c r="E5" s="76"/>
      <c r="F5" s="98" t="s">
        <v>55</v>
      </c>
      <c r="G5" s="75"/>
      <c r="H5" s="76"/>
      <c r="I5" s="99" t="s">
        <v>56</v>
      </c>
      <c r="J5" s="75"/>
      <c r="K5" s="76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</row>
    <row r="6" ht="15.75" customHeight="1">
      <c r="A6" s="128"/>
      <c r="B6" s="130"/>
      <c r="C6" s="96" t="s">
        <v>50</v>
      </c>
      <c r="D6" s="96" t="s">
        <v>51</v>
      </c>
      <c r="E6" s="96" t="s">
        <v>52</v>
      </c>
      <c r="F6" s="100" t="str">
        <f t="shared" ref="F6:K6" si="1">+C6</f>
        <v>Year 1</v>
      </c>
      <c r="G6" s="100" t="str">
        <f t="shared" si="1"/>
        <v>Year 2</v>
      </c>
      <c r="H6" s="100" t="str">
        <f t="shared" si="1"/>
        <v>Year 3</v>
      </c>
      <c r="I6" s="100" t="str">
        <f t="shared" si="1"/>
        <v>Year 1</v>
      </c>
      <c r="J6" s="100" t="str">
        <f t="shared" si="1"/>
        <v>Year 2</v>
      </c>
      <c r="K6" s="100" t="str">
        <f t="shared" si="1"/>
        <v>Year 3</v>
      </c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</row>
    <row r="7">
      <c r="A7" s="128"/>
      <c r="B7" s="131" t="s">
        <v>83</v>
      </c>
      <c r="C7" s="132">
        <f>Revenue!C34</f>
        <v>74640</v>
      </c>
      <c r="D7" s="132">
        <f>Revenue!D34</f>
        <v>80723.16</v>
      </c>
      <c r="E7" s="132">
        <f>Revenue!E34</f>
        <v>88795.476</v>
      </c>
      <c r="F7" s="132">
        <f>Revenue!F34</f>
        <v>38640</v>
      </c>
      <c r="G7" s="132">
        <f>Revenue!G34</f>
        <v>41789.16</v>
      </c>
      <c r="H7" s="132">
        <f>Revenue!H34</f>
        <v>43878.618</v>
      </c>
      <c r="I7" s="132">
        <f>Revenue!I34</f>
        <v>86640</v>
      </c>
      <c r="J7" s="132">
        <f>Revenue!J34</f>
        <v>93701.16</v>
      </c>
      <c r="K7" s="132">
        <f>Revenue!K34</f>
        <v>100069.2</v>
      </c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</row>
    <row r="8">
      <c r="A8" s="128"/>
      <c r="B8" s="131" t="s">
        <v>84</v>
      </c>
      <c r="C8" s="132">
        <f>-Expenses!C34</f>
        <v>-42200</v>
      </c>
      <c r="D8" s="132">
        <f>-Expenses!D34</f>
        <v>-44310</v>
      </c>
      <c r="E8" s="132">
        <f>-Expenses!E34</f>
        <v>-48741</v>
      </c>
      <c r="F8" s="132">
        <f>-Expenses!F34</f>
        <v>-19800</v>
      </c>
      <c r="G8" s="132">
        <f>-Expenses!G34</f>
        <v>-20790</v>
      </c>
      <c r="H8" s="132">
        <f>-Expenses!H34</f>
        <v>-21829.5</v>
      </c>
      <c r="I8" s="132">
        <f>-Expenses!I34</f>
        <v>-51200</v>
      </c>
      <c r="J8" s="132">
        <f>-Expenses!J34</f>
        <v>-53760</v>
      </c>
      <c r="K8" s="132">
        <f>-Expenses!K34</f>
        <v>-59136</v>
      </c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</row>
    <row r="9">
      <c r="A9" s="128"/>
      <c r="B9" s="133" t="s">
        <v>85</v>
      </c>
      <c r="C9" s="134">
        <f t="shared" ref="C9:K9" si="2">C7+C8</f>
        <v>32440</v>
      </c>
      <c r="D9" s="134">
        <f t="shared" si="2"/>
        <v>36413.16</v>
      </c>
      <c r="E9" s="134">
        <f t="shared" si="2"/>
        <v>40054.476</v>
      </c>
      <c r="F9" s="134">
        <f t="shared" si="2"/>
        <v>18840</v>
      </c>
      <c r="G9" s="134">
        <f t="shared" si="2"/>
        <v>20999.16</v>
      </c>
      <c r="H9" s="134">
        <f t="shared" si="2"/>
        <v>22049.118</v>
      </c>
      <c r="I9" s="134">
        <f t="shared" si="2"/>
        <v>35440</v>
      </c>
      <c r="J9" s="134">
        <f t="shared" si="2"/>
        <v>39941.16</v>
      </c>
      <c r="K9" s="134">
        <f t="shared" si="2"/>
        <v>40933.2</v>
      </c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</row>
    <row r="10">
      <c r="A10" s="128"/>
      <c r="B10" s="131" t="s">
        <v>86</v>
      </c>
      <c r="C10" s="132">
        <f>-Expenses!C52</f>
        <v>-47230</v>
      </c>
      <c r="D10" s="132">
        <f>-Expenses!D52</f>
        <v>-48646.9</v>
      </c>
      <c r="E10" s="132">
        <f>-Expenses!E52</f>
        <v>-50106.307</v>
      </c>
      <c r="F10" s="132">
        <f>-Expenses!F52</f>
        <v>-47230</v>
      </c>
      <c r="G10" s="132">
        <f>-Expenses!G52</f>
        <v>-48646.9</v>
      </c>
      <c r="H10" s="132">
        <f>-Expenses!H52</f>
        <v>-50106.307</v>
      </c>
      <c r="I10" s="132">
        <f>-Expenses!I52</f>
        <v>-47230</v>
      </c>
      <c r="J10" s="132">
        <f>-Expenses!J52</f>
        <v>-48646.9</v>
      </c>
      <c r="K10" s="132">
        <f>-Expenses!K52</f>
        <v>-50106.307</v>
      </c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</row>
    <row r="11">
      <c r="A11" s="128"/>
      <c r="B11" s="133" t="s">
        <v>87</v>
      </c>
      <c r="C11" s="134">
        <f t="shared" ref="C11:K11" si="3">C9+C10</f>
        <v>-14790</v>
      </c>
      <c r="D11" s="134">
        <f t="shared" si="3"/>
        <v>-12233.74</v>
      </c>
      <c r="E11" s="134">
        <f t="shared" si="3"/>
        <v>-10051.831</v>
      </c>
      <c r="F11" s="134">
        <f t="shared" si="3"/>
        <v>-28390</v>
      </c>
      <c r="G11" s="134">
        <f t="shared" si="3"/>
        <v>-27647.74</v>
      </c>
      <c r="H11" s="134">
        <f t="shared" si="3"/>
        <v>-28057.189</v>
      </c>
      <c r="I11" s="134">
        <f t="shared" si="3"/>
        <v>-11790</v>
      </c>
      <c r="J11" s="134">
        <f t="shared" si="3"/>
        <v>-8705.74</v>
      </c>
      <c r="K11" s="134">
        <f t="shared" si="3"/>
        <v>-9173.107</v>
      </c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</row>
    <row r="12">
      <c r="A12" s="128"/>
      <c r="B12" s="131" t="s">
        <v>88</v>
      </c>
      <c r="C12" s="132">
        <f>Revenue!$C$12</f>
        <v>20000</v>
      </c>
      <c r="D12" s="132">
        <f>Revenue!$D$12</f>
        <v>20000</v>
      </c>
      <c r="E12" s="132">
        <f>Revenue!$E$12</f>
        <v>20000</v>
      </c>
      <c r="F12" s="132">
        <f>Revenue!$C$12</f>
        <v>20000</v>
      </c>
      <c r="G12" s="132">
        <f>Revenue!$D$12</f>
        <v>20000</v>
      </c>
      <c r="H12" s="132">
        <f>Revenue!$E$12</f>
        <v>20000</v>
      </c>
      <c r="I12" s="132">
        <f>Revenue!$C$12</f>
        <v>20000</v>
      </c>
      <c r="J12" s="132">
        <f>Revenue!$D$12</f>
        <v>20000</v>
      </c>
      <c r="K12" s="132">
        <f>Revenue!$E$12</f>
        <v>20000</v>
      </c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</row>
    <row r="13">
      <c r="A13" s="128"/>
      <c r="B13" s="133" t="s">
        <v>89</v>
      </c>
      <c r="C13" s="134">
        <f t="shared" ref="C13:K13" si="4">C11+C12</f>
        <v>5210</v>
      </c>
      <c r="D13" s="134">
        <f t="shared" si="4"/>
        <v>7766.26</v>
      </c>
      <c r="E13" s="134">
        <f t="shared" si="4"/>
        <v>9948.169</v>
      </c>
      <c r="F13" s="134">
        <f t="shared" si="4"/>
        <v>-8390</v>
      </c>
      <c r="G13" s="134">
        <f t="shared" si="4"/>
        <v>-7647.74</v>
      </c>
      <c r="H13" s="134">
        <f t="shared" si="4"/>
        <v>-8057.189</v>
      </c>
      <c r="I13" s="134">
        <f t="shared" si="4"/>
        <v>8210</v>
      </c>
      <c r="J13" s="134">
        <f t="shared" si="4"/>
        <v>11294.26</v>
      </c>
      <c r="K13" s="134">
        <f t="shared" si="4"/>
        <v>10826.893</v>
      </c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</row>
    <row r="14">
      <c r="A14" s="128"/>
      <c r="B14" s="131" t="s">
        <v>90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</row>
    <row r="15">
      <c r="A15" s="128"/>
      <c r="B15" s="133" t="s">
        <v>91</v>
      </c>
      <c r="C15" s="134">
        <f t="shared" ref="C15:K15" si="5">C13-C14</f>
        <v>5210</v>
      </c>
      <c r="D15" s="134">
        <f t="shared" si="5"/>
        <v>7766.26</v>
      </c>
      <c r="E15" s="134">
        <f t="shared" si="5"/>
        <v>9948.169</v>
      </c>
      <c r="F15" s="134">
        <f t="shared" si="5"/>
        <v>-8390</v>
      </c>
      <c r="G15" s="134">
        <f t="shared" si="5"/>
        <v>-7647.74</v>
      </c>
      <c r="H15" s="134">
        <f t="shared" si="5"/>
        <v>-8057.189</v>
      </c>
      <c r="I15" s="134">
        <f t="shared" si="5"/>
        <v>8210</v>
      </c>
      <c r="J15" s="134">
        <f t="shared" si="5"/>
        <v>11294.26</v>
      </c>
      <c r="K15" s="134">
        <f t="shared" si="5"/>
        <v>10826.893</v>
      </c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</row>
    <row r="16" ht="9.75" customHeight="1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</row>
    <row r="17" ht="9.75" customHeight="1">
      <c r="A17" s="128"/>
      <c r="B17" s="128"/>
      <c r="C17" s="94"/>
      <c r="F17" s="94"/>
      <c r="I17" s="94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</row>
    <row r="18" ht="9.75" customHeight="1">
      <c r="A18" s="128"/>
      <c r="B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</row>
    <row r="19" ht="9.75" customHeight="1">
      <c r="A19" s="128"/>
      <c r="B19" s="128"/>
      <c r="C19" s="128"/>
      <c r="D19" s="128"/>
      <c r="E19" s="128"/>
      <c r="F19" s="71"/>
      <c r="G19" s="71"/>
      <c r="H19" s="71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</row>
    <row r="20" ht="9.75" customHeigh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</row>
    <row r="21" ht="9.7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</row>
    <row r="22" ht="9.75" customHeight="1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</row>
    <row r="23" ht="9.75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</row>
    <row r="24" ht="9.75" customHeight="1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</row>
    <row r="25" ht="9.75" customHeight="1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</row>
    <row r="26" ht="9.75" customHeight="1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</row>
    <row r="27" ht="9.75" customHeight="1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</row>
    <row r="28" ht="9.7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</row>
    <row r="29" ht="9.75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</row>
    <row r="30" ht="9.75" customHeight="1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</row>
    <row r="31" ht="9.75" customHeight="1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</row>
    <row r="32" ht="9.75" customHeight="1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</row>
    <row r="33" ht="9.75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</row>
    <row r="34" ht="9.75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</row>
    <row r="35" ht="9.7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</row>
    <row r="36" ht="9.7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</row>
    <row r="37" ht="9.75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</row>
    <row r="38" ht="9.75" customHeight="1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</row>
    <row r="39" ht="9.7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</row>
    <row r="40" ht="9.75" customHeight="1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</row>
    <row r="41" ht="9.75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</row>
    <row r="42" ht="9.75" customHeight="1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</row>
    <row r="43" ht="9.75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</row>
    <row r="44" ht="9.75" customHeight="1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</row>
    <row r="45" ht="9.75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</row>
    <row r="46" ht="9.75" customHeigh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</row>
    <row r="47" ht="9.7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</row>
    <row r="48" ht="9.75" customHeight="1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</row>
    <row r="49" ht="9.75" customHeigh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</row>
    <row r="50" ht="9.75" customHeight="1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</row>
    <row r="51" ht="9.75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</row>
    <row r="52" ht="9.75" customHeigh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</row>
    <row r="53" ht="9.75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</row>
    <row r="54" ht="9.75" customHeight="1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</row>
    <row r="55" ht="9.75" customHeight="1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</row>
    <row r="56" ht="9.75" customHeight="1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</row>
    <row r="57" ht="9.75" customHeight="1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</row>
    <row r="58" ht="9.75" customHeight="1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</row>
    <row r="59" ht="9.75" customHeight="1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</row>
    <row r="60" ht="9.75" customHeigh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</row>
    <row r="61" ht="9.75" customHeight="1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</row>
    <row r="62" ht="9.75" customHeight="1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</row>
    <row r="63" ht="9.75" customHeight="1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</row>
    <row r="64" ht="9.75" customHeight="1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</row>
    <row r="65" ht="9.75" customHeight="1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</row>
    <row r="66" ht="9.75" customHeight="1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</row>
    <row r="67" ht="9.75" customHeight="1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</row>
    <row r="68" ht="9.75" customHeight="1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</row>
    <row r="69" ht="9.75" customHeight="1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</row>
    <row r="70" ht="9.75" customHeight="1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</row>
    <row r="71" ht="9.75" customHeight="1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</row>
    <row r="72" ht="9.75" customHeight="1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</row>
    <row r="73" ht="9.75" customHeight="1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</row>
    <row r="74" ht="9.75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</row>
    <row r="75" ht="9.75" customHeight="1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</row>
    <row r="76" ht="9.75" customHeigh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</row>
    <row r="77" ht="9.75" customHeigh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</row>
    <row r="78" ht="9.75" customHeigh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</row>
    <row r="79" ht="9.75" customHeight="1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</row>
    <row r="80" ht="9.75" customHeight="1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</row>
    <row r="81" ht="9.75" customHeight="1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</row>
    <row r="82" ht="9.75" customHeight="1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</row>
    <row r="83" ht="9.75" customHeight="1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</row>
    <row r="84" ht="9.75" customHeight="1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</row>
    <row r="85" ht="9.75" customHeight="1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</row>
    <row r="86" ht="9.75" customHeight="1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</row>
    <row r="87" ht="9.75" customHeight="1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</row>
    <row r="88" ht="9.75" customHeight="1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</row>
    <row r="89" ht="9.75" customHeight="1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</row>
    <row r="90" ht="9.75" customHeight="1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</row>
    <row r="91" ht="9.75" customHeight="1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</row>
    <row r="92" ht="9.75" customHeight="1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</row>
    <row r="93" ht="9.75" customHeight="1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</row>
    <row r="94" ht="9.75" customHeight="1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</row>
    <row r="95" ht="9.75" customHeight="1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</row>
    <row r="96" ht="9.75" customHeight="1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</row>
    <row r="97" ht="9.75" customHeight="1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</row>
    <row r="98" ht="9.75" customHeight="1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</row>
    <row r="99" ht="9.75" customHeight="1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</row>
    <row r="100" ht="9.75" customHeight="1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</row>
    <row r="101" ht="9.75" customHeight="1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</row>
    <row r="102" ht="9.75" customHeight="1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</row>
    <row r="103" ht="9.75" customHeight="1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</row>
    <row r="104" ht="9.75" customHeight="1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</row>
    <row r="105" ht="9.75" customHeight="1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</row>
    <row r="106" ht="9.75" customHeight="1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</row>
    <row r="107" ht="9.75" customHeight="1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</row>
    <row r="108" ht="9.75" customHeight="1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</row>
    <row r="109" ht="9.75" customHeight="1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</row>
    <row r="110" ht="9.75" customHeight="1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</row>
    <row r="111" ht="9.75" customHeight="1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</row>
    <row r="112" ht="9.75" customHeight="1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</row>
    <row r="113" ht="9.75" customHeight="1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</row>
    <row r="114" ht="9.75" customHeight="1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</row>
    <row r="115" ht="9.75" customHeight="1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</row>
    <row r="116" ht="9.75" customHeight="1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</row>
    <row r="117" ht="9.75" customHeight="1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</row>
    <row r="118" ht="9.75" customHeight="1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</row>
    <row r="119" ht="9.75" customHeight="1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</row>
    <row r="120" ht="9.75" customHeight="1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</row>
    <row r="121" ht="9.75" customHeight="1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</row>
    <row r="122" ht="9.75" customHeight="1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</row>
    <row r="123" ht="9.75" customHeight="1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</row>
    <row r="124" ht="9.75" customHeight="1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</row>
    <row r="125" ht="9.75" customHeight="1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</row>
    <row r="126" ht="9.75" customHeight="1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</row>
    <row r="127" ht="9.75" customHeight="1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</row>
    <row r="128" ht="9.75" customHeight="1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</row>
    <row r="129" ht="9.75" customHeight="1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</row>
    <row r="130" ht="9.75" customHeight="1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</row>
    <row r="131" ht="9.75" customHeight="1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</row>
    <row r="132" ht="9.75" customHeight="1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</row>
    <row r="133" ht="9.75" customHeight="1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</row>
    <row r="134" ht="9.75" customHeight="1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</row>
    <row r="135" ht="9.75" customHeight="1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</row>
    <row r="136" ht="9.75" customHeight="1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</row>
    <row r="137" ht="9.75" customHeight="1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</row>
    <row r="138" ht="9.75" customHeight="1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</row>
    <row r="139" ht="9.75" customHeight="1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</row>
    <row r="140" ht="9.75" customHeight="1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</row>
    <row r="141" ht="9.75" customHeight="1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</row>
    <row r="142" ht="9.75" customHeight="1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</row>
    <row r="143" ht="9.75" customHeight="1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</row>
    <row r="144" ht="9.75" customHeight="1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</row>
    <row r="145" ht="9.75" customHeight="1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</row>
    <row r="146" ht="9.75" customHeight="1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</row>
    <row r="147" ht="9.75" customHeight="1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</row>
    <row r="148" ht="9.75" customHeight="1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</row>
    <row r="149" ht="9.75" customHeight="1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</row>
    <row r="150" ht="9.75" customHeight="1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</row>
    <row r="151" ht="9.75" customHeight="1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</row>
    <row r="152" ht="9.75" customHeight="1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</row>
    <row r="153" ht="9.75" customHeight="1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</row>
    <row r="154" ht="9.75" customHeight="1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</row>
    <row r="155" ht="9.75" customHeight="1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</row>
    <row r="156" ht="9.75" customHeight="1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</row>
    <row r="157" ht="9.75" customHeight="1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</row>
    <row r="158" ht="9.75" customHeight="1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</row>
    <row r="159" ht="9.75" customHeight="1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</row>
    <row r="160" ht="9.75" customHeight="1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</row>
    <row r="161" ht="9.75" customHeight="1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</row>
    <row r="162" ht="9.75" customHeight="1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</row>
    <row r="163" ht="9.75" customHeight="1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</row>
    <row r="164" ht="9.75" customHeight="1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</row>
    <row r="165" ht="9.75" customHeight="1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</row>
    <row r="166" ht="9.75" customHeight="1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</row>
    <row r="167" ht="9.75" customHeight="1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</row>
    <row r="168" ht="9.75" customHeight="1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</row>
    <row r="169" ht="9.75" customHeight="1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</row>
    <row r="170" ht="9.75" customHeight="1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</row>
    <row r="171" ht="9.75" customHeight="1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</row>
    <row r="172" ht="9.75" customHeight="1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</row>
    <row r="173" ht="9.75" customHeight="1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</row>
    <row r="174" ht="9.75" customHeight="1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</row>
    <row r="175" ht="9.75" customHeight="1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</row>
    <row r="176" ht="9.75" customHeight="1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</row>
    <row r="177" ht="9.75" customHeight="1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</row>
    <row r="178" ht="9.75" customHeight="1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</row>
    <row r="179" ht="9.75" customHeight="1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</row>
    <row r="180" ht="9.75" customHeight="1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</row>
    <row r="181" ht="9.75" customHeight="1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</row>
    <row r="182" ht="9.75" customHeight="1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</row>
    <row r="183" ht="9.75" customHeight="1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</row>
    <row r="184" ht="9.75" customHeight="1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</row>
    <row r="185" ht="9.75" customHeight="1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</row>
    <row r="186" ht="9.75" customHeight="1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</row>
    <row r="187" ht="9.75" customHeight="1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</row>
    <row r="188" ht="9.75" customHeight="1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</row>
    <row r="189" ht="9.75" customHeight="1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</row>
    <row r="190" ht="9.75" customHeight="1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</row>
    <row r="191" ht="9.75" customHeight="1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</row>
    <row r="192" ht="9.75" customHeight="1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</row>
    <row r="193" ht="9.75" customHeight="1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</row>
    <row r="194" ht="9.75" customHeight="1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</row>
    <row r="195" ht="9.75" customHeight="1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</row>
    <row r="196" ht="9.75" customHeight="1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</row>
    <row r="197" ht="9.75" customHeight="1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</row>
    <row r="198" ht="9.75" customHeight="1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</row>
    <row r="199" ht="9.75" customHeight="1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</row>
    <row r="200" ht="9.75" customHeight="1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</row>
    <row r="201" ht="9.75" customHeight="1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</row>
    <row r="202" ht="9.75" customHeight="1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</row>
    <row r="203" ht="9.75" customHeight="1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</row>
    <row r="204" ht="9.75" customHeight="1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</row>
    <row r="205" ht="9.75" customHeight="1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</row>
    <row r="206" ht="9.75" customHeight="1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</row>
    <row r="207" ht="9.75" customHeight="1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</row>
    <row r="208" ht="9.75" customHeight="1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</row>
    <row r="209" ht="9.75" customHeight="1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</row>
    <row r="210" ht="9.75" customHeight="1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</row>
    <row r="211" ht="9.75" customHeight="1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</row>
    <row r="212" ht="9.75" customHeight="1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</row>
    <row r="213" ht="9.75" customHeight="1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</row>
    <row r="214" ht="9.75" customHeight="1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</row>
    <row r="215" ht="9.75" customHeight="1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</row>
    <row r="216" ht="9.75" customHeight="1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</row>
    <row r="217" ht="9.75" customHeight="1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</row>
    <row r="218" ht="9.75" customHeight="1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</row>
    <row r="219" ht="9.75" customHeight="1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</row>
  </sheetData>
  <mergeCells count="6">
    <mergeCell ref="C5:E5"/>
    <mergeCell ref="F5:H5"/>
    <mergeCell ref="I5:K5"/>
    <mergeCell ref="C17:E18"/>
    <mergeCell ref="F17:H18"/>
    <mergeCell ref="I17:K18"/>
  </mergeCells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27DE10F7908A4CBFC56A0A35B3AC7B" ma:contentTypeVersion="8" ma:contentTypeDescription="Crea un document nou" ma:contentTypeScope="" ma:versionID="f6d6e7971d81cc794f19f2b89b0251bf">
  <xsd:schema xmlns:xsd="http://www.w3.org/2001/XMLSchema" xmlns:xs="http://www.w3.org/2001/XMLSchema" xmlns:p="http://schemas.microsoft.com/office/2006/metadata/properties" xmlns:ns2="8d32a48b-ef71-4dcc-b707-5be36c684fff" xmlns:ns3="7bee3feb-936e-459e-ad8a-ed52de7fbc82" targetNamespace="http://schemas.microsoft.com/office/2006/metadata/properties" ma:root="true" ma:fieldsID="4adfbb077b9a4e8d81e6b2a671708974" ns2:_="" ns3:_="">
    <xsd:import namespace="8d32a48b-ef71-4dcc-b707-5be36c684fff"/>
    <xsd:import namespace="7bee3feb-936e-459e-ad8a-ed52de7fb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2a48b-ef71-4dcc-b707-5be36c684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e3feb-936e-459e-ad8a-ed52de7fbc8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e3feb-936e-459e-ad8a-ed52de7fbc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C81C3C-CB54-4712-9E64-A5EDBE2EA9ED}"/>
</file>

<file path=customXml/itemProps2.xml><?xml version="1.0" encoding="utf-8"?>
<ds:datastoreItem xmlns:ds="http://schemas.openxmlformats.org/officeDocument/2006/customXml" ds:itemID="{EF6E86CA-AC59-4415-8DEB-EF1EB2EF5F6D}"/>
</file>

<file path=customXml/itemProps3.xml><?xml version="1.0" encoding="utf-8"?>
<ds:datastoreItem xmlns:ds="http://schemas.openxmlformats.org/officeDocument/2006/customXml" ds:itemID="{9467F270-06E0-43B0-B1F5-7E9C495A52A7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2019-09-16T15:43:31Z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0x0101000327DE10F7908A4CBFC56A0A35B3AC7B</vt:lpwstr>
  </property>
</Properties>
</file>